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ans" sheetId="2" state="visible" r:id="rId2"/>
    <sheet xmlns:r="http://schemas.openxmlformats.org/officeDocument/2006/relationships" name="Payment Schedule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'Loans'!$A$4:$R$104</definedName>
    <definedName name="_xlnm._FilterDatabase" localSheetId="2" hidden="1">'Payment Schedule'!$A$6:$K$366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66"/>
      <sz val="9"/>
    </font>
    <font>
      <name val="Calibri"/>
      <b val="1"/>
      <color rgb="00FFFFFF"/>
      <sz val="10"/>
    </font>
    <font>
      <name val="Calibri"/>
      <b val="1"/>
      <color rgb="0017261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  <fill>
      <patternFill patternType="solid">
        <fgColor rgb="00D7A928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1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1" customWidth="1" min="1" max="1"/>
    <col width="24" customWidth="1" min="2" max="2"/>
  </cols>
  <sheetData>
    <row r="1" ht="30" customHeight="1">
      <c r="A1" s="1" t="inlineStr">
        <is>
          <t>Green Lantern Lawns (Fictional) — Loan Amortization Summary</t>
        </is>
      </c>
    </row>
    <row r="2" ht="32" customHeight="1">
      <c r="A2" s="2" t="inlineStr">
        <is>
          <t>All examples are fictional. Estimated balances assume planned monthly payments through the editable as-of date; verify amounts against lender records.</t>
        </is>
      </c>
    </row>
    <row r="3"/>
    <row r="4" ht="32" customHeight="1">
      <c r="A4" s="3" t="inlineStr">
        <is>
          <t>Indicator</t>
        </is>
      </c>
      <c r="B4" s="3" t="inlineStr">
        <is>
          <t>Calculated Value</t>
        </is>
      </c>
    </row>
    <row r="5">
      <c r="A5" s="4" t="inlineStr">
        <is>
          <t>As-of Date</t>
        </is>
      </c>
      <c r="B5" s="5">
        <f>Assumptions!$B$4</f>
        <v/>
      </c>
    </row>
    <row r="6">
      <c r="A6" s="6" t="inlineStr">
        <is>
          <t>Loans Entered</t>
        </is>
      </c>
      <c r="B6" s="7">
        <f>COUNTIF(Loans!$A$5:$A$104,"&lt;&gt;")</f>
        <v/>
      </c>
    </row>
    <row r="7">
      <c r="A7" s="4" t="inlineStr">
        <is>
          <t>Active Loans</t>
        </is>
      </c>
      <c r="B7" s="8">
        <f>COUNTIF(Loans!$J$5:$J$104,"Active")</f>
        <v/>
      </c>
    </row>
    <row r="8">
      <c r="A8" s="6" t="inlineStr">
        <is>
          <t>Planned Loans</t>
        </is>
      </c>
      <c r="B8" s="7">
        <f>COUNTIF(Loans!$J$5:$J$104,"Planned")</f>
        <v/>
      </c>
    </row>
    <row r="9">
      <c r="A9" s="4" t="inlineStr">
        <is>
          <t>Total Original Principal</t>
        </is>
      </c>
      <c r="B9" s="9">
        <f>SUM(Loans!$F$5:$F$104)</f>
        <v/>
      </c>
    </row>
    <row r="10">
      <c r="A10" s="6" t="inlineStr">
        <is>
          <t>Estimated Outstanding Balance</t>
        </is>
      </c>
      <c r="B10" s="10">
        <f>SUM(Loans!$Q$5:$Q$104)</f>
        <v/>
      </c>
    </row>
    <row r="11">
      <c r="A11" s="4" t="inlineStr">
        <is>
          <t>Active Planned Monthly Outflow</t>
        </is>
      </c>
      <c r="B11" s="9">
        <f>SUMIF(Loans!$J$5:$J$104,"Active",Loans!$L$5:$L$104)</f>
        <v/>
      </c>
    </row>
    <row r="12">
      <c r="A12" s="6" t="inlineStr">
        <is>
          <t>Scheduled Interest Without Extra Payments</t>
        </is>
      </c>
      <c r="B12" s="10">
        <f>SUM(Loans!$M$5:$M$104)</f>
        <v/>
      </c>
    </row>
    <row r="13">
      <c r="A13" s="4" t="inlineStr">
        <is>
          <t>Principal-Weighted Average APR</t>
        </is>
      </c>
      <c r="B13" s="11">
        <f>IFERROR(SUMPRODUCT(Loans!$F$5:$F$104,Loans!$G$5:$G$104)/SUM(Loans!$F$5:$F$104),"")</f>
        <v/>
      </c>
    </row>
    <row r="14">
      <c r="A14" s="6" t="inlineStr">
        <is>
          <t>Loans Needing Review</t>
        </is>
      </c>
      <c r="B14" s="7">
        <f>COUNTIF(Loans!$R$5:$R$104,"?*")</f>
        <v/>
      </c>
    </row>
    <row r="15">
      <c r="A15" s="4" t="inlineStr">
        <is>
          <t>Selected Schedule Loan</t>
        </is>
      </c>
      <c r="B15" s="12">
        <f>Assumptions!$B$6</f>
        <v/>
      </c>
    </row>
    <row r="16">
      <c r="A16" s="6" t="inlineStr">
        <is>
          <t>Selected Loan Projected Interest</t>
        </is>
      </c>
      <c r="B16" s="10">
        <f>'Payment Schedule'!$H$4</f>
        <v/>
      </c>
    </row>
    <row r="17">
      <c r="A17" s="4" t="inlineStr">
        <is>
          <t>Selected Loan Projected Payoff Date</t>
        </is>
      </c>
      <c r="B17" s="5">
        <f>'Payment Schedule'!$F$4</f>
        <v/>
      </c>
    </row>
  </sheetData>
  <mergeCells count="1">
    <mergeCell ref="A1:B1"/>
  </mergeCells>
  <conditionalFormatting sqref="B14">
    <cfRule type="expression" priority="1" dxfId="0">
      <formula>$B$14&gt;0</formula>
    </cfRule>
  </conditionalFormatting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31" customWidth="1" min="3" max="3"/>
    <col width="14" customWidth="1" min="4" max="4"/>
    <col width="16" customWidth="1" min="5" max="5"/>
    <col width="17" customWidth="1" min="6" max="6"/>
    <col width="11" customWidth="1" min="7" max="7"/>
    <col width="14" customWidth="1" min="8" max="8"/>
    <col width="16" customWidth="1" min="9" max="9"/>
    <col width="12" customWidth="1" min="10" max="10"/>
    <col width="17" customWidth="1" min="11" max="11"/>
    <col width="20" customWidth="1" min="12" max="12"/>
    <col width="23" customWidth="1" min="13" max="13"/>
    <col width="21" customWidth="1" min="14" max="14"/>
    <col width="18" customWidth="1" min="15" max="15"/>
    <col width="17" customWidth="1" min="16" max="16"/>
    <col width="22" customWidth="1" min="17" max="17"/>
    <col width="22" customWidth="1" min="18" max="18"/>
  </cols>
  <sheetData>
    <row r="1" ht="30" customHeight="1">
      <c r="A1" s="1" t="inlineStr">
        <is>
          <t>Green Lantern Lawns (Fictional) — Loan Register</t>
        </is>
      </c>
    </row>
    <row r="2" ht="28" customHeight="1">
      <c r="A2" s="2" t="inlineStr">
        <is>
          <t>Yellow cells are editable. Calculated balances are planning estimates and do not record actual lender payments.</t>
        </is>
      </c>
    </row>
    <row r="3"/>
    <row r="4" ht="32" customHeight="1">
      <c r="A4" s="3" t="inlineStr">
        <is>
          <t>Loan ID</t>
        </is>
      </c>
      <c r="B4" s="3" t="inlineStr">
        <is>
          <t>Purpose or Asset</t>
        </is>
      </c>
      <c r="C4" s="3" t="inlineStr">
        <is>
          <t>Lender</t>
        </is>
      </c>
      <c r="D4" s="3" t="inlineStr">
        <is>
          <t>Funding Date</t>
        </is>
      </c>
      <c r="E4" s="3" t="inlineStr">
        <is>
          <t>First Payment Date</t>
        </is>
      </c>
      <c r="F4" s="3" t="inlineStr">
        <is>
          <t>Original Principal</t>
        </is>
      </c>
      <c r="G4" s="3" t="inlineStr">
        <is>
          <t>APR</t>
        </is>
      </c>
      <c r="H4" s="3" t="inlineStr">
        <is>
          <t>Term (Months)</t>
        </is>
      </c>
      <c r="I4" s="3" t="inlineStr">
        <is>
          <t>Extra per Month</t>
        </is>
      </c>
      <c r="J4" s="3" t="inlineStr">
        <is>
          <t>Status</t>
        </is>
      </c>
      <c r="K4" s="3" t="inlineStr">
        <is>
          <t>Standard Payment</t>
        </is>
      </c>
      <c r="L4" s="3" t="inlineStr">
        <is>
          <t>Planned Monthly Outflow</t>
        </is>
      </c>
      <c r="M4" s="3" t="inlineStr">
        <is>
          <t>Scheduled Interest (No Extra)</t>
        </is>
      </c>
      <c r="N4" s="3" t="inlineStr">
        <is>
          <t>Scheduled Total (No Extra)</t>
        </is>
      </c>
      <c r="O4" s="3" t="inlineStr">
        <is>
          <t>Scheduled Maturity</t>
        </is>
      </c>
      <c r="P4" s="3" t="inlineStr">
        <is>
          <t>Payments Elapsed</t>
        </is>
      </c>
      <c r="Q4" s="3" t="inlineStr">
        <is>
          <t>Est. Balance (Regular Plan)</t>
        </is>
      </c>
      <c r="R4" s="3" t="inlineStr">
        <is>
          <t>Review Alert</t>
        </is>
      </c>
    </row>
    <row r="5">
      <c r="A5" s="13" t="inlineStr">
        <is>
          <t>LN-001</t>
        </is>
      </c>
      <c r="B5" s="14" t="inlineStr">
        <is>
          <t>Zero-turn mower fleet</t>
        </is>
      </c>
      <c r="C5" s="14" t="inlineStr">
        <is>
          <t>Example Meadow Credit (Fictional)</t>
        </is>
      </c>
      <c r="D5" s="15" t="n">
        <v>45463</v>
      </c>
      <c r="E5" s="15" t="n">
        <v>45488</v>
      </c>
      <c r="F5" s="16" t="n">
        <v>48000</v>
      </c>
      <c r="G5" s="17" t="n">
        <v>0.0725</v>
      </c>
      <c r="H5" s="18" t="n">
        <v>60</v>
      </c>
      <c r="I5" s="16" t="n">
        <v>150</v>
      </c>
      <c r="J5" s="13" t="inlineStr">
        <is>
          <t>Active</t>
        </is>
      </c>
      <c r="K5" s="9">
        <f>IF(OR($A5="",$F5="",$G5="",$H5=""),"",IFERROR(IF($G5=0,$F5/$H5,-PMT($G5/12,$H5,$F5)),""))</f>
        <v/>
      </c>
      <c r="L5" s="9">
        <f>IF($K5="","",IFERROR($K5+IF($I5="",0,$I5),""))</f>
        <v/>
      </c>
      <c r="M5" s="9">
        <f>IF($K5="","",IFERROR(MAX(0,$K5*$H5-$F5),""))</f>
        <v/>
      </c>
      <c r="N5" s="9">
        <f>IF($K5="","",IFERROR($K5*$H5,""))</f>
        <v/>
      </c>
      <c r="O5" s="19">
        <f>IF(OR($E5="",$H5=""),"",IFERROR(EDATE($E5,$H5-1),""))</f>
        <v/>
      </c>
      <c r="P5" s="8">
        <f>IF(OR($A5="",$E5="",$H5="",Assumptions!$B$4=""),"",IFERROR(IF(Assumptions!$B$4&lt;$E5,0,MIN($H5,(YEAR(Assumptions!$B$4)-YEAR($E5))*12+MONTH(Assumptions!$B$4)-MONTH($E5)+IF(DAY(Assumptions!$B$4)&gt;=DAY($E5),1,0))),""))</f>
        <v/>
      </c>
      <c r="Q5" s="9">
        <f>IF(OR($A5="",$F5="",$G5="",$H5="",$L5="",$P5=""),"",IF($J5="Paid",0,IFERROR(MAX(0,IF($G5=0,$F5-$L5*$P5,$F5*(1+$G5/12)^$P5-$L5*((1+$G5/12)^$P5-1)/($G5/12))),"")))</f>
        <v/>
      </c>
      <c r="R5" s="20">
        <f>IF($A5="","",IF(OR($D5="",$E5="",$F5="",$G5="",$H5="",$J5=""),"Check missing input",IF($E5&lt;$D5,"Check payment date",IF(COUNTIF($A$5:$A$104,$A5)&gt;1,"Duplicate loan ID",IF($G5&gt;Assumptions!$B$7,"Review APR input",IF(AND($J5="Active",$O5&lt;Assumptions!$B$4,$Q5&gt;Assumptions!$B$5),"Review past maturity",IF($J5="On Hold","Review on-hold loan","")))))))</f>
        <v/>
      </c>
    </row>
    <row r="6">
      <c r="A6" s="13" t="inlineStr">
        <is>
          <t>LN-002</t>
        </is>
      </c>
      <c r="B6" s="14" t="inlineStr">
        <is>
          <t>Compact landscape loader</t>
        </is>
      </c>
      <c r="C6" s="14" t="inlineStr">
        <is>
          <t>Acorn Arc Capital (Fictional)</t>
        </is>
      </c>
      <c r="D6" s="15" t="n">
        <v>45662</v>
      </c>
      <c r="E6" s="15" t="n">
        <v>45689</v>
      </c>
      <c r="F6" s="16" t="n">
        <v>73500</v>
      </c>
      <c r="G6" s="17" t="n">
        <v>0.081</v>
      </c>
      <c r="H6" s="18" t="n">
        <v>72</v>
      </c>
      <c r="I6" s="16" t="n">
        <v>250</v>
      </c>
      <c r="J6" s="13" t="inlineStr">
        <is>
          <t>Active</t>
        </is>
      </c>
      <c r="K6" s="10">
        <f>IF(OR($A6="",$F6="",$G6="",$H6=""),"",IFERROR(IF($G6=0,$F6/$H6,-PMT($G6/12,$H6,$F6)),""))</f>
        <v/>
      </c>
      <c r="L6" s="10">
        <f>IF($K6="","",IFERROR($K6+IF($I6="",0,$I6),""))</f>
        <v/>
      </c>
      <c r="M6" s="10">
        <f>IF($K6="","",IFERROR(MAX(0,$K6*$H6-$F6),""))</f>
        <v/>
      </c>
      <c r="N6" s="10">
        <f>IF($K6="","",IFERROR($K6*$H6,""))</f>
        <v/>
      </c>
      <c r="O6" s="21">
        <f>IF(OR($E6="",$H6=""),"",IFERROR(EDATE($E6,$H6-1),""))</f>
        <v/>
      </c>
      <c r="P6" s="7">
        <f>IF(OR($A6="",$E6="",$H6="",Assumptions!$B$4=""),"",IFERROR(IF(Assumptions!$B$4&lt;$E6,0,MIN($H6,(YEAR(Assumptions!$B$4)-YEAR($E6))*12+MONTH(Assumptions!$B$4)-MONTH($E6)+IF(DAY(Assumptions!$B$4)&gt;=DAY($E6),1,0))),""))</f>
        <v/>
      </c>
      <c r="Q6" s="10">
        <f>IF(OR($A6="",$F6="",$G6="",$H6="",$L6="",$P6=""),"",IF($J6="Paid",0,IFERROR(MAX(0,IF($G6=0,$F6-$L6*$P6,$F6*(1+$G6/12)^$P6-$L6*((1+$G6/12)^$P6-1)/($G6/12))),"")))</f>
        <v/>
      </c>
      <c r="R6" s="22">
        <f>IF($A6="","",IF(OR($D6="",$E6="",$F6="",$G6="",$H6="",$J6=""),"Check missing input",IF($E6&lt;$D6,"Check payment date",IF(COUNTIF($A$5:$A$104,$A6)&gt;1,"Duplicate loan ID",IF($G6&gt;Assumptions!$B$7,"Review APR input",IF(AND($J6="Active",$O6&lt;Assumptions!$B$4,$Q6&gt;Assumptions!$B$5),"Review past maturity",IF($J6="On Hold","Review on-hold loan","")))))))</f>
        <v/>
      </c>
    </row>
    <row r="7">
      <c r="A7" s="13" t="inlineStr">
        <is>
          <t>LN-003</t>
        </is>
      </c>
      <c r="B7" s="14" t="inlineStr">
        <is>
          <t>Irrigation service trailer</t>
        </is>
      </c>
      <c r="C7" s="14" t="inlineStr">
        <is>
          <t>Sample Creek Finance (Fictional)</t>
        </is>
      </c>
      <c r="D7" s="15" t="n">
        <v>44997</v>
      </c>
      <c r="E7" s="15" t="n">
        <v>45028</v>
      </c>
      <c r="F7" s="16" t="n">
        <v>18500</v>
      </c>
      <c r="G7" s="17" t="n">
        <v>0</v>
      </c>
      <c r="H7" s="18" t="n">
        <v>36</v>
      </c>
      <c r="I7" s="16" t="n">
        <v>0</v>
      </c>
      <c r="J7" s="13" t="inlineStr">
        <is>
          <t>Paid</t>
        </is>
      </c>
      <c r="K7" s="9">
        <f>IF(OR($A7="",$F7="",$G7="",$H7=""),"",IFERROR(IF($G7=0,$F7/$H7,-PMT($G7/12,$H7,$F7)),""))</f>
        <v/>
      </c>
      <c r="L7" s="9">
        <f>IF($K7="","",IFERROR($K7+IF($I7="",0,$I7),""))</f>
        <v/>
      </c>
      <c r="M7" s="9">
        <f>IF($K7="","",IFERROR(MAX(0,$K7*$H7-$F7),""))</f>
        <v/>
      </c>
      <c r="N7" s="9">
        <f>IF($K7="","",IFERROR($K7*$H7,""))</f>
        <v/>
      </c>
      <c r="O7" s="19">
        <f>IF(OR($E7="",$H7=""),"",IFERROR(EDATE($E7,$H7-1),""))</f>
        <v/>
      </c>
      <c r="P7" s="8">
        <f>IF(OR($A7="",$E7="",$H7="",Assumptions!$B$4=""),"",IFERROR(IF(Assumptions!$B$4&lt;$E7,0,MIN($H7,(YEAR(Assumptions!$B$4)-YEAR($E7))*12+MONTH(Assumptions!$B$4)-MONTH($E7)+IF(DAY(Assumptions!$B$4)&gt;=DAY($E7),1,0))),""))</f>
        <v/>
      </c>
      <c r="Q7" s="9">
        <f>IF(OR($A7="",$F7="",$G7="",$H7="",$L7="",$P7=""),"",IF($J7="Paid",0,IFERROR(MAX(0,IF($G7=0,$F7-$L7*$P7,$F7*(1+$G7/12)^$P7-$L7*((1+$G7/12)^$P7-1)/($G7/12))),"")))</f>
        <v/>
      </c>
      <c r="R7" s="20">
        <f>IF($A7="","",IF(OR($D7="",$E7="",$F7="",$G7="",$H7="",$J7=""),"Check missing input",IF($E7&lt;$D7,"Check payment date",IF(COUNTIF($A$5:$A$104,$A7)&gt;1,"Duplicate loan ID",IF($G7&gt;Assumptions!$B$7,"Review APR input",IF(AND($J7="Active",$O7&lt;Assumptions!$B$4,$Q7&gt;Assumptions!$B$5),"Review past maturity",IF($J7="On Hold","Review on-hold loan","")))))))</f>
        <v/>
      </c>
    </row>
    <row r="8">
      <c r="A8" s="13" t="inlineStr">
        <is>
          <t>LN-004</t>
        </is>
      </c>
      <c r="B8" s="14" t="inlineStr">
        <is>
          <t>Shop improvements</t>
        </is>
      </c>
      <c r="C8" s="14" t="inlineStr">
        <is>
          <t>Fictional Elm Business Bank</t>
        </is>
      </c>
      <c r="D8" s="15" t="n">
        <v>44883</v>
      </c>
      <c r="E8" s="15" t="n">
        <v>44913</v>
      </c>
      <c r="F8" s="16" t="n">
        <v>120000</v>
      </c>
      <c r="G8" s="17" t="n">
        <v>0.065</v>
      </c>
      <c r="H8" s="18" t="n">
        <v>120</v>
      </c>
      <c r="I8" s="16" t="n">
        <v>0</v>
      </c>
      <c r="J8" s="13" t="inlineStr">
        <is>
          <t>Active</t>
        </is>
      </c>
      <c r="K8" s="10">
        <f>IF(OR($A8="",$F8="",$G8="",$H8=""),"",IFERROR(IF($G8=0,$F8/$H8,-PMT($G8/12,$H8,$F8)),""))</f>
        <v/>
      </c>
      <c r="L8" s="10">
        <f>IF($K8="","",IFERROR($K8+IF($I8="",0,$I8),""))</f>
        <v/>
      </c>
      <c r="M8" s="10">
        <f>IF($K8="","",IFERROR(MAX(0,$K8*$H8-$F8),""))</f>
        <v/>
      </c>
      <c r="N8" s="10">
        <f>IF($K8="","",IFERROR($K8*$H8,""))</f>
        <v/>
      </c>
      <c r="O8" s="21">
        <f>IF(OR($E8="",$H8=""),"",IFERROR(EDATE($E8,$H8-1),""))</f>
        <v/>
      </c>
      <c r="P8" s="7">
        <f>IF(OR($A8="",$E8="",$H8="",Assumptions!$B$4=""),"",IFERROR(IF(Assumptions!$B$4&lt;$E8,0,MIN($H8,(YEAR(Assumptions!$B$4)-YEAR($E8))*12+MONTH(Assumptions!$B$4)-MONTH($E8)+IF(DAY(Assumptions!$B$4)&gt;=DAY($E8),1,0))),""))</f>
        <v/>
      </c>
      <c r="Q8" s="10">
        <f>IF(OR($A8="",$F8="",$G8="",$H8="",$L8="",$P8=""),"",IF($J8="Paid",0,IFERROR(MAX(0,IF($G8=0,$F8-$L8*$P8,$F8*(1+$G8/12)^$P8-$L8*((1+$G8/12)^$P8-1)/($G8/12))),"")))</f>
        <v/>
      </c>
      <c r="R8" s="22">
        <f>IF($A8="","",IF(OR($D8="",$E8="",$F8="",$G8="",$H8="",$J8=""),"Check missing input",IF($E8&lt;$D8,"Check payment date",IF(COUNTIF($A$5:$A$104,$A8)&gt;1,"Duplicate loan ID",IF($G8&gt;Assumptions!$B$7,"Review APR input",IF(AND($J8="Active",$O8&lt;Assumptions!$B$4,$Q8&gt;Assumptions!$B$5),"Review past maturity",IF($J8="On Hold","Review on-hold loan","")))))))</f>
        <v/>
      </c>
    </row>
    <row r="9">
      <c r="A9" s="13" t="inlineStr">
        <is>
          <t>LN-005</t>
        </is>
      </c>
      <c r="B9" s="14" t="inlineStr">
        <is>
          <t>Core aerator purchase</t>
        </is>
      </c>
      <c r="C9" s="14" t="inlineStr">
        <is>
          <t>Mockingbird Equipment Fund (Fictional)</t>
        </is>
      </c>
      <c r="D9" s="15" t="n">
        <v>46235</v>
      </c>
      <c r="E9" s="15" t="n">
        <v>46280</v>
      </c>
      <c r="F9" s="16" t="n">
        <v>12500</v>
      </c>
      <c r="G9" s="17" t="n">
        <v>0.099</v>
      </c>
      <c r="H9" s="18" t="n">
        <v>36</v>
      </c>
      <c r="I9" s="16" t="n">
        <v>50</v>
      </c>
      <c r="J9" s="13" t="inlineStr">
        <is>
          <t>Planned</t>
        </is>
      </c>
      <c r="K9" s="9">
        <f>IF(OR($A9="",$F9="",$G9="",$H9=""),"",IFERROR(IF($G9=0,$F9/$H9,-PMT($G9/12,$H9,$F9)),""))</f>
        <v/>
      </c>
      <c r="L9" s="9">
        <f>IF($K9="","",IFERROR($K9+IF($I9="",0,$I9),""))</f>
        <v/>
      </c>
      <c r="M9" s="9">
        <f>IF($K9="","",IFERROR(MAX(0,$K9*$H9-$F9),""))</f>
        <v/>
      </c>
      <c r="N9" s="9">
        <f>IF($K9="","",IFERROR($K9*$H9,""))</f>
        <v/>
      </c>
      <c r="O9" s="19">
        <f>IF(OR($E9="",$H9=""),"",IFERROR(EDATE($E9,$H9-1),""))</f>
        <v/>
      </c>
      <c r="P9" s="8">
        <f>IF(OR($A9="",$E9="",$H9="",Assumptions!$B$4=""),"",IFERROR(IF(Assumptions!$B$4&lt;$E9,0,MIN($H9,(YEAR(Assumptions!$B$4)-YEAR($E9))*12+MONTH(Assumptions!$B$4)-MONTH($E9)+IF(DAY(Assumptions!$B$4)&gt;=DAY($E9),1,0))),""))</f>
        <v/>
      </c>
      <c r="Q9" s="9">
        <f>IF(OR($A9="",$F9="",$G9="",$H9="",$L9="",$P9=""),"",IF($J9="Paid",0,IFERROR(MAX(0,IF($G9=0,$F9-$L9*$P9,$F9*(1+$G9/12)^$P9-$L9*((1+$G9/12)^$P9-1)/($G9/12))),"")))</f>
        <v/>
      </c>
      <c r="R9" s="20">
        <f>IF($A9="","",IF(OR($D9="",$E9="",$F9="",$G9="",$H9="",$J9=""),"Check missing input",IF($E9&lt;$D9,"Check payment date",IF(COUNTIF($A$5:$A$104,$A9)&gt;1,"Duplicate loan ID",IF($G9&gt;Assumptions!$B$7,"Review APR input",IF(AND($J9="Active",$O9&lt;Assumptions!$B$4,$Q9&gt;Assumptions!$B$5),"Review past maturity",IF($J9="On Hold","Review on-hold loan","")))))))</f>
        <v/>
      </c>
    </row>
    <row r="10">
      <c r="A10" s="13" t="inlineStr">
        <is>
          <t>LN-006</t>
        </is>
      </c>
      <c r="B10" s="14" t="inlineStr">
        <is>
          <t>Enclosed equipment trailers</t>
        </is>
      </c>
      <c r="C10" s="14" t="inlineStr">
        <is>
          <t>Example Pine Lending (Fictional)</t>
        </is>
      </c>
      <c r="D10" s="15" t="n">
        <v>44296</v>
      </c>
      <c r="E10" s="15" t="n">
        <v>44326</v>
      </c>
      <c r="F10" s="16" t="n">
        <v>24000</v>
      </c>
      <c r="G10" s="17" t="n">
        <v>0.0575</v>
      </c>
      <c r="H10" s="18" t="n">
        <v>60</v>
      </c>
      <c r="I10" s="16" t="n">
        <v>0</v>
      </c>
      <c r="J10" s="13" t="inlineStr">
        <is>
          <t>Paid</t>
        </is>
      </c>
      <c r="K10" s="10">
        <f>IF(OR($A10="",$F10="",$G10="",$H10=""),"",IFERROR(IF($G10=0,$F10/$H10,-PMT($G10/12,$H10,$F10)),""))</f>
        <v/>
      </c>
      <c r="L10" s="10">
        <f>IF($K10="","",IFERROR($K10+IF($I10="",0,$I10),""))</f>
        <v/>
      </c>
      <c r="M10" s="10">
        <f>IF($K10="","",IFERROR(MAX(0,$K10*$H10-$F10),""))</f>
        <v/>
      </c>
      <c r="N10" s="10">
        <f>IF($K10="","",IFERROR($K10*$H10,""))</f>
        <v/>
      </c>
      <c r="O10" s="21">
        <f>IF(OR($E10="",$H10=""),"",IFERROR(EDATE($E10,$H10-1),""))</f>
        <v/>
      </c>
      <c r="P10" s="7">
        <f>IF(OR($A10="",$E10="",$H10="",Assumptions!$B$4=""),"",IFERROR(IF(Assumptions!$B$4&lt;$E10,0,MIN($H10,(YEAR(Assumptions!$B$4)-YEAR($E10))*12+MONTH(Assumptions!$B$4)-MONTH($E10)+IF(DAY(Assumptions!$B$4)&gt;=DAY($E10),1,0))),""))</f>
        <v/>
      </c>
      <c r="Q10" s="10">
        <f>IF(OR($A10="",$F10="",$G10="",$H10="",$L10="",$P10=""),"",IF($J10="Paid",0,IFERROR(MAX(0,IF($G10=0,$F10-$L10*$P10,$F10*(1+$G10/12)^$P10-$L10*((1+$G10/12)^$P10-1)/($G10/12))),"")))</f>
        <v/>
      </c>
      <c r="R10" s="22">
        <f>IF($A10="","",IF(OR($D10="",$E10="",$F10="",$G10="",$H10="",$J10=""),"Check missing input",IF($E10&lt;$D10,"Check payment date",IF(COUNTIF($A$5:$A$104,$A10)&gt;1,"Duplicate loan ID",IF($G10&gt;Assumptions!$B$7,"Review APR input",IF(AND($J10="Active",$O10&lt;Assumptions!$B$4,$Q10&gt;Assumptions!$B$5),"Review past maturity",IF($J10="On Hold","Review on-hold loan","")))))))</f>
        <v/>
      </c>
    </row>
    <row r="11">
      <c r="A11" s="13" t="inlineStr">
        <is>
          <t>LN-007</t>
        </is>
      </c>
      <c r="B11" s="14" t="inlineStr">
        <is>
          <t>Battery-powered equipment</t>
        </is>
      </c>
      <c r="C11" s="14" t="inlineStr">
        <is>
          <t>Fictional Blue Heron Credit</t>
        </is>
      </c>
      <c r="D11" s="15" t="n">
        <v>46067</v>
      </c>
      <c r="E11" s="15" t="n">
        <v>46095</v>
      </c>
      <c r="F11" s="16" t="n">
        <v>36000</v>
      </c>
      <c r="G11" s="17" t="n">
        <v>0.0425</v>
      </c>
      <c r="H11" s="18" t="n">
        <v>48</v>
      </c>
      <c r="I11" s="16" t="n">
        <v>100</v>
      </c>
      <c r="J11" s="13" t="inlineStr">
        <is>
          <t>Active</t>
        </is>
      </c>
      <c r="K11" s="9">
        <f>IF(OR($A11="",$F11="",$G11="",$H11=""),"",IFERROR(IF($G11=0,$F11/$H11,-PMT($G11/12,$H11,$F11)),""))</f>
        <v/>
      </c>
      <c r="L11" s="9">
        <f>IF($K11="","",IFERROR($K11+IF($I11="",0,$I11),""))</f>
        <v/>
      </c>
      <c r="M11" s="9">
        <f>IF($K11="","",IFERROR(MAX(0,$K11*$H11-$F11),""))</f>
        <v/>
      </c>
      <c r="N11" s="9">
        <f>IF($K11="","",IFERROR($K11*$H11,""))</f>
        <v/>
      </c>
      <c r="O11" s="19">
        <f>IF(OR($E11="",$H11=""),"",IFERROR(EDATE($E11,$H11-1),""))</f>
        <v/>
      </c>
      <c r="P11" s="8">
        <f>IF(OR($A11="",$E11="",$H11="",Assumptions!$B$4=""),"",IFERROR(IF(Assumptions!$B$4&lt;$E11,0,MIN($H11,(YEAR(Assumptions!$B$4)-YEAR($E11))*12+MONTH(Assumptions!$B$4)-MONTH($E11)+IF(DAY(Assumptions!$B$4)&gt;=DAY($E11),1,0))),""))</f>
        <v/>
      </c>
      <c r="Q11" s="9">
        <f>IF(OR($A11="",$F11="",$G11="",$H11="",$L11="",$P11=""),"",IF($J11="Paid",0,IFERROR(MAX(0,IF($G11=0,$F11-$L11*$P11,$F11*(1+$G11/12)^$P11-$L11*((1+$G11/12)^$P11-1)/($G11/12))),"")))</f>
        <v/>
      </c>
      <c r="R11" s="20">
        <f>IF($A11="","",IF(OR($D11="",$E11="",$F11="",$G11="",$H11="",$J11=""),"Check missing input",IF($E11&lt;$D11,"Check payment date",IF(COUNTIF($A$5:$A$104,$A11)&gt;1,"Duplicate loan ID",IF($G11&gt;Assumptions!$B$7,"Review APR input",IF(AND($J11="Active",$O11&lt;Assumptions!$B$4,$Q11&gt;Assumptions!$B$5),"Review past maturity",IF($J11="On Hold","Review on-hold loan","")))))))</f>
        <v/>
      </c>
    </row>
    <row r="12">
      <c r="A12" s="13" t="inlineStr">
        <is>
          <t>LN-008</t>
        </is>
      </c>
      <c r="B12" s="14" t="inlineStr">
        <is>
          <t>Drainage installation tools</t>
        </is>
      </c>
      <c r="C12" s="14" t="inlineStr">
        <is>
          <t>Sample Stone Finance (Fictional)</t>
        </is>
      </c>
      <c r="D12" s="15" t="n">
        <v>46266</v>
      </c>
      <c r="E12" s="15" t="n">
        <v>46296</v>
      </c>
      <c r="F12" s="16" t="n">
        <v>9000</v>
      </c>
      <c r="G12" s="17" t="n">
        <v>0.115</v>
      </c>
      <c r="H12" s="18" t="n">
        <v>24</v>
      </c>
      <c r="I12" s="16" t="n">
        <v>0</v>
      </c>
      <c r="J12" s="13" t="inlineStr">
        <is>
          <t>Planned</t>
        </is>
      </c>
      <c r="K12" s="10">
        <f>IF(OR($A12="",$F12="",$G12="",$H12=""),"",IFERROR(IF($G12=0,$F12/$H12,-PMT($G12/12,$H12,$F12)),""))</f>
        <v/>
      </c>
      <c r="L12" s="10">
        <f>IF($K12="","",IFERROR($K12+IF($I12="",0,$I12),""))</f>
        <v/>
      </c>
      <c r="M12" s="10">
        <f>IF($K12="","",IFERROR(MAX(0,$K12*$H12-$F12),""))</f>
        <v/>
      </c>
      <c r="N12" s="10">
        <f>IF($K12="","",IFERROR($K12*$H12,""))</f>
        <v/>
      </c>
      <c r="O12" s="21">
        <f>IF(OR($E12="",$H12=""),"",IFERROR(EDATE($E12,$H12-1),""))</f>
        <v/>
      </c>
      <c r="P12" s="7">
        <f>IF(OR($A12="",$E12="",$H12="",Assumptions!$B$4=""),"",IFERROR(IF(Assumptions!$B$4&lt;$E12,0,MIN($H12,(YEAR(Assumptions!$B$4)-YEAR($E12))*12+MONTH(Assumptions!$B$4)-MONTH($E12)+IF(DAY(Assumptions!$B$4)&gt;=DAY($E12),1,0))),""))</f>
        <v/>
      </c>
      <c r="Q12" s="10">
        <f>IF(OR($A12="",$F12="",$G12="",$H12="",$L12="",$P12=""),"",IF($J12="Paid",0,IFERROR(MAX(0,IF($G12=0,$F12-$L12*$P12,$F12*(1+$G12/12)^$P12-$L12*((1+$G12/12)^$P12-1)/($G12/12))),"")))</f>
        <v/>
      </c>
      <c r="R12" s="22">
        <f>IF($A12="","",IF(OR($D12="",$E12="",$F12="",$G12="",$H12="",$J12=""),"Check missing input",IF($E12&lt;$D12,"Check payment date",IF(COUNTIF($A$5:$A$104,$A12)&gt;1,"Duplicate loan ID",IF($G12&gt;Assumptions!$B$7,"Review APR input",IF(AND($J12="Active",$O12&lt;Assumptions!$B$4,$Q12&gt;Assumptions!$B$5),"Review past maturity",IF($J12="On Hold","Review on-hold loan","")))))))</f>
        <v/>
      </c>
    </row>
    <row r="13">
      <c r="A13" s="13" t="inlineStr">
        <is>
          <t>LN-009</t>
        </is>
      </c>
      <c r="B13" s="14" t="inlineStr">
        <is>
          <t>Stump grinder</t>
        </is>
      </c>
      <c r="C13" s="14" t="inlineStr">
        <is>
          <t>Fictional Foxglove Funding</t>
        </is>
      </c>
      <c r="D13" s="15" t="n">
        <v>45860</v>
      </c>
      <c r="E13" s="15" t="n">
        <v>45891</v>
      </c>
      <c r="F13" s="16" t="n">
        <v>41500</v>
      </c>
      <c r="G13" s="17" t="n">
        <v>0.0785</v>
      </c>
      <c r="H13" s="18" t="n">
        <v>60</v>
      </c>
      <c r="I13" s="16" t="n">
        <v>300</v>
      </c>
      <c r="J13" s="13" t="inlineStr">
        <is>
          <t>On Hold</t>
        </is>
      </c>
      <c r="K13" s="9">
        <f>IF(OR($A13="",$F13="",$G13="",$H13=""),"",IFERROR(IF($G13=0,$F13/$H13,-PMT($G13/12,$H13,$F13)),""))</f>
        <v/>
      </c>
      <c r="L13" s="9">
        <f>IF($K13="","",IFERROR($K13+IF($I13="",0,$I13),""))</f>
        <v/>
      </c>
      <c r="M13" s="9">
        <f>IF($K13="","",IFERROR(MAX(0,$K13*$H13-$F13),""))</f>
        <v/>
      </c>
      <c r="N13" s="9">
        <f>IF($K13="","",IFERROR($K13*$H13,""))</f>
        <v/>
      </c>
      <c r="O13" s="19">
        <f>IF(OR($E13="",$H13=""),"",IFERROR(EDATE($E13,$H13-1),""))</f>
        <v/>
      </c>
      <c r="P13" s="8">
        <f>IF(OR($A13="",$E13="",$H13="",Assumptions!$B$4=""),"",IFERROR(IF(Assumptions!$B$4&lt;$E13,0,MIN($H13,(YEAR(Assumptions!$B$4)-YEAR($E13))*12+MONTH(Assumptions!$B$4)-MONTH($E13)+IF(DAY(Assumptions!$B$4)&gt;=DAY($E13),1,0))),""))</f>
        <v/>
      </c>
      <c r="Q13" s="9">
        <f>IF(OR($A13="",$F13="",$G13="",$H13="",$L13="",$P13=""),"",IF($J13="Paid",0,IFERROR(MAX(0,IF($G13=0,$F13-$L13*$P13,$F13*(1+$G13/12)^$P13-$L13*((1+$G13/12)^$P13-1)/($G13/12))),"")))</f>
        <v/>
      </c>
      <c r="R13" s="20">
        <f>IF($A13="","",IF(OR($D13="",$E13="",$F13="",$G13="",$H13="",$J13=""),"Check missing input",IF($E13&lt;$D13,"Check payment date",IF(COUNTIF($A$5:$A$104,$A13)&gt;1,"Duplicate loan ID",IF($G13&gt;Assumptions!$B$7,"Review APR input",IF(AND($J13="Active",$O13&lt;Assumptions!$B$4,$Q13&gt;Assumptions!$B$5),"Review past maturity",IF($J13="On Hold","Review on-hold loan","")))))))</f>
        <v/>
      </c>
    </row>
    <row r="14">
      <c r="A14" s="13" t="inlineStr">
        <is>
          <t>LN-010</t>
        </is>
      </c>
      <c r="B14" s="14" t="inlineStr">
        <is>
          <t>Seasonal working-capital note</t>
        </is>
      </c>
      <c r="C14" s="14" t="inlineStr">
        <is>
          <t>Example Oakline Finance (Fictional)</t>
        </is>
      </c>
      <c r="D14" s="15" t="n">
        <v>46172</v>
      </c>
      <c r="E14" s="15" t="n">
        <v>46203</v>
      </c>
      <c r="F14" s="16" t="n">
        <v>30000</v>
      </c>
      <c r="G14" s="17" t="n">
        <v>0.1225</v>
      </c>
      <c r="H14" s="18" t="n">
        <v>18</v>
      </c>
      <c r="I14" s="16" t="n">
        <v>500</v>
      </c>
      <c r="J14" s="13" t="inlineStr">
        <is>
          <t>Active</t>
        </is>
      </c>
      <c r="K14" s="10">
        <f>IF(OR($A14="",$F14="",$G14="",$H14=""),"",IFERROR(IF($G14=0,$F14/$H14,-PMT($G14/12,$H14,$F14)),""))</f>
        <v/>
      </c>
      <c r="L14" s="10">
        <f>IF($K14="","",IFERROR($K14+IF($I14="",0,$I14),""))</f>
        <v/>
      </c>
      <c r="M14" s="10">
        <f>IF($K14="","",IFERROR(MAX(0,$K14*$H14-$F14),""))</f>
        <v/>
      </c>
      <c r="N14" s="10">
        <f>IF($K14="","",IFERROR($K14*$H14,""))</f>
        <v/>
      </c>
      <c r="O14" s="21">
        <f>IF(OR($E14="",$H14=""),"",IFERROR(EDATE($E14,$H14-1),""))</f>
        <v/>
      </c>
      <c r="P14" s="7">
        <f>IF(OR($A14="",$E14="",$H14="",Assumptions!$B$4=""),"",IFERROR(IF(Assumptions!$B$4&lt;$E14,0,MIN($H14,(YEAR(Assumptions!$B$4)-YEAR($E14))*12+MONTH(Assumptions!$B$4)-MONTH($E14)+IF(DAY(Assumptions!$B$4)&gt;=DAY($E14),1,0))),""))</f>
        <v/>
      </c>
      <c r="Q14" s="10">
        <f>IF(OR($A14="",$F14="",$G14="",$H14="",$L14="",$P14=""),"",IF($J14="Paid",0,IFERROR(MAX(0,IF($G14=0,$F14-$L14*$P14,$F14*(1+$G14/12)^$P14-$L14*((1+$G14/12)^$P14-1)/($G14/12))),"")))</f>
        <v/>
      </c>
      <c r="R14" s="22">
        <f>IF($A14="","",IF(OR($D14="",$E14="",$F14="",$G14="",$H14="",$J14=""),"Check missing input",IF($E14&lt;$D14,"Check payment date",IF(COUNTIF($A$5:$A$104,$A14)&gt;1,"Duplicate loan ID",IF($G14&gt;Assumptions!$B$7,"Review APR input",IF(AND($J14="Active",$O14&lt;Assumptions!$B$4,$Q14&gt;Assumptions!$B$5),"Review past maturity",IF($J14="On Hold","Review on-hold loan","")))))))</f>
        <v/>
      </c>
    </row>
    <row r="15">
      <c r="A15" s="13" t="n"/>
      <c r="B15" s="14" t="n"/>
      <c r="C15" s="14" t="n"/>
      <c r="D15" s="15" t="n"/>
      <c r="E15" s="15" t="n"/>
      <c r="F15" s="16" t="n"/>
      <c r="G15" s="17" t="n"/>
      <c r="H15" s="18" t="n"/>
      <c r="I15" s="16" t="n"/>
      <c r="J15" s="13" t="n"/>
      <c r="K15" s="9">
        <f>IF(OR($A15="",$F15="",$G15="",$H15=""),"",IFERROR(IF($G15=0,$F15/$H15,-PMT($G15/12,$H15,$F15)),""))</f>
        <v/>
      </c>
      <c r="L15" s="9">
        <f>IF($K15="","",IFERROR($K15+IF($I15="",0,$I15),""))</f>
        <v/>
      </c>
      <c r="M15" s="9">
        <f>IF($K15="","",IFERROR(MAX(0,$K15*$H15-$F15),""))</f>
        <v/>
      </c>
      <c r="N15" s="9">
        <f>IF($K15="","",IFERROR($K15*$H15,""))</f>
        <v/>
      </c>
      <c r="O15" s="19">
        <f>IF(OR($E15="",$H15=""),"",IFERROR(EDATE($E15,$H15-1),""))</f>
        <v/>
      </c>
      <c r="P15" s="8">
        <f>IF(OR($A15="",$E15="",$H15="",Assumptions!$B$4=""),"",IFERROR(IF(Assumptions!$B$4&lt;$E15,0,MIN($H15,(YEAR(Assumptions!$B$4)-YEAR($E15))*12+MONTH(Assumptions!$B$4)-MONTH($E15)+IF(DAY(Assumptions!$B$4)&gt;=DAY($E15),1,0))),""))</f>
        <v/>
      </c>
      <c r="Q15" s="9">
        <f>IF(OR($A15="",$F15="",$G15="",$H15="",$L15="",$P15=""),"",IF($J15="Paid",0,IFERROR(MAX(0,IF($G15=0,$F15-$L15*$P15,$F15*(1+$G15/12)^$P15-$L15*((1+$G15/12)^$P15-1)/($G15/12))),"")))</f>
        <v/>
      </c>
      <c r="R15" s="20">
        <f>IF($A15="","",IF(OR($D15="",$E15="",$F15="",$G15="",$H15="",$J15=""),"Check missing input",IF($E15&lt;$D15,"Check payment date",IF(COUNTIF($A$5:$A$104,$A15)&gt;1,"Duplicate loan ID",IF($G15&gt;Assumptions!$B$7,"Review APR input",IF(AND($J15="Active",$O15&lt;Assumptions!$B$4,$Q15&gt;Assumptions!$B$5),"Review past maturity",IF($J15="On Hold","Review on-hold loan","")))))))</f>
        <v/>
      </c>
    </row>
    <row r="16">
      <c r="A16" s="13" t="n"/>
      <c r="B16" s="14" t="n"/>
      <c r="C16" s="14" t="n"/>
      <c r="D16" s="15" t="n"/>
      <c r="E16" s="15" t="n"/>
      <c r="F16" s="16" t="n"/>
      <c r="G16" s="17" t="n"/>
      <c r="H16" s="18" t="n"/>
      <c r="I16" s="16" t="n"/>
      <c r="J16" s="13" t="n"/>
      <c r="K16" s="10">
        <f>IF(OR($A16="",$F16="",$G16="",$H16=""),"",IFERROR(IF($G16=0,$F16/$H16,-PMT($G16/12,$H16,$F16)),""))</f>
        <v/>
      </c>
      <c r="L16" s="10">
        <f>IF($K16="","",IFERROR($K16+IF($I16="",0,$I16),""))</f>
        <v/>
      </c>
      <c r="M16" s="10">
        <f>IF($K16="","",IFERROR(MAX(0,$K16*$H16-$F16),""))</f>
        <v/>
      </c>
      <c r="N16" s="10">
        <f>IF($K16="","",IFERROR($K16*$H16,""))</f>
        <v/>
      </c>
      <c r="O16" s="21">
        <f>IF(OR($E16="",$H16=""),"",IFERROR(EDATE($E16,$H16-1),""))</f>
        <v/>
      </c>
      <c r="P16" s="7">
        <f>IF(OR($A16="",$E16="",$H16="",Assumptions!$B$4=""),"",IFERROR(IF(Assumptions!$B$4&lt;$E16,0,MIN($H16,(YEAR(Assumptions!$B$4)-YEAR($E16))*12+MONTH(Assumptions!$B$4)-MONTH($E16)+IF(DAY(Assumptions!$B$4)&gt;=DAY($E16),1,0))),""))</f>
        <v/>
      </c>
      <c r="Q16" s="10">
        <f>IF(OR($A16="",$F16="",$G16="",$H16="",$L16="",$P16=""),"",IF($J16="Paid",0,IFERROR(MAX(0,IF($G16=0,$F16-$L16*$P16,$F16*(1+$G16/12)^$P16-$L16*((1+$G16/12)^$P16-1)/($G16/12))),"")))</f>
        <v/>
      </c>
      <c r="R16" s="22">
        <f>IF($A16="","",IF(OR($D16="",$E16="",$F16="",$G16="",$H16="",$J16=""),"Check missing input",IF($E16&lt;$D16,"Check payment date",IF(COUNTIF($A$5:$A$104,$A16)&gt;1,"Duplicate loan ID",IF($G16&gt;Assumptions!$B$7,"Review APR input",IF(AND($J16="Active",$O16&lt;Assumptions!$B$4,$Q16&gt;Assumptions!$B$5),"Review past maturity",IF($J16="On Hold","Review on-hold loan","")))))))</f>
        <v/>
      </c>
    </row>
    <row r="17">
      <c r="A17" s="13" t="n"/>
      <c r="B17" s="14" t="n"/>
      <c r="C17" s="14" t="n"/>
      <c r="D17" s="15" t="n"/>
      <c r="E17" s="15" t="n"/>
      <c r="F17" s="16" t="n"/>
      <c r="G17" s="17" t="n"/>
      <c r="H17" s="18" t="n"/>
      <c r="I17" s="16" t="n"/>
      <c r="J17" s="13" t="n"/>
      <c r="K17" s="9">
        <f>IF(OR($A17="",$F17="",$G17="",$H17=""),"",IFERROR(IF($G17=0,$F17/$H17,-PMT($G17/12,$H17,$F17)),""))</f>
        <v/>
      </c>
      <c r="L17" s="9">
        <f>IF($K17="","",IFERROR($K17+IF($I17="",0,$I17),""))</f>
        <v/>
      </c>
      <c r="M17" s="9">
        <f>IF($K17="","",IFERROR(MAX(0,$K17*$H17-$F17),""))</f>
        <v/>
      </c>
      <c r="N17" s="9">
        <f>IF($K17="","",IFERROR($K17*$H17,""))</f>
        <v/>
      </c>
      <c r="O17" s="19">
        <f>IF(OR($E17="",$H17=""),"",IFERROR(EDATE($E17,$H17-1),""))</f>
        <v/>
      </c>
      <c r="P17" s="8">
        <f>IF(OR($A17="",$E17="",$H17="",Assumptions!$B$4=""),"",IFERROR(IF(Assumptions!$B$4&lt;$E17,0,MIN($H17,(YEAR(Assumptions!$B$4)-YEAR($E17))*12+MONTH(Assumptions!$B$4)-MONTH($E17)+IF(DAY(Assumptions!$B$4)&gt;=DAY($E17),1,0))),""))</f>
        <v/>
      </c>
      <c r="Q17" s="9">
        <f>IF(OR($A17="",$F17="",$G17="",$H17="",$L17="",$P17=""),"",IF($J17="Paid",0,IFERROR(MAX(0,IF($G17=0,$F17-$L17*$P17,$F17*(1+$G17/12)^$P17-$L17*((1+$G17/12)^$P17-1)/($G17/12))),"")))</f>
        <v/>
      </c>
      <c r="R17" s="20">
        <f>IF($A17="","",IF(OR($D17="",$E17="",$F17="",$G17="",$H17="",$J17=""),"Check missing input",IF($E17&lt;$D17,"Check payment date",IF(COUNTIF($A$5:$A$104,$A17)&gt;1,"Duplicate loan ID",IF($G17&gt;Assumptions!$B$7,"Review APR input",IF(AND($J17="Active",$O17&lt;Assumptions!$B$4,$Q17&gt;Assumptions!$B$5),"Review past maturity",IF($J17="On Hold","Review on-hold loan","")))))))</f>
        <v/>
      </c>
    </row>
    <row r="18">
      <c r="A18" s="13" t="n"/>
      <c r="B18" s="14" t="n"/>
      <c r="C18" s="14" t="n"/>
      <c r="D18" s="15" t="n"/>
      <c r="E18" s="15" t="n"/>
      <c r="F18" s="16" t="n"/>
      <c r="G18" s="17" t="n"/>
      <c r="H18" s="18" t="n"/>
      <c r="I18" s="16" t="n"/>
      <c r="J18" s="13" t="n"/>
      <c r="K18" s="10">
        <f>IF(OR($A18="",$F18="",$G18="",$H18=""),"",IFERROR(IF($G18=0,$F18/$H18,-PMT($G18/12,$H18,$F18)),""))</f>
        <v/>
      </c>
      <c r="L18" s="10">
        <f>IF($K18="","",IFERROR($K18+IF($I18="",0,$I18),""))</f>
        <v/>
      </c>
      <c r="M18" s="10">
        <f>IF($K18="","",IFERROR(MAX(0,$K18*$H18-$F18),""))</f>
        <v/>
      </c>
      <c r="N18" s="10">
        <f>IF($K18="","",IFERROR($K18*$H18,""))</f>
        <v/>
      </c>
      <c r="O18" s="21">
        <f>IF(OR($E18="",$H18=""),"",IFERROR(EDATE($E18,$H18-1),""))</f>
        <v/>
      </c>
      <c r="P18" s="7">
        <f>IF(OR($A18="",$E18="",$H18="",Assumptions!$B$4=""),"",IFERROR(IF(Assumptions!$B$4&lt;$E18,0,MIN($H18,(YEAR(Assumptions!$B$4)-YEAR($E18))*12+MONTH(Assumptions!$B$4)-MONTH($E18)+IF(DAY(Assumptions!$B$4)&gt;=DAY($E18),1,0))),""))</f>
        <v/>
      </c>
      <c r="Q18" s="10">
        <f>IF(OR($A18="",$F18="",$G18="",$H18="",$L18="",$P18=""),"",IF($J18="Paid",0,IFERROR(MAX(0,IF($G18=0,$F18-$L18*$P18,$F18*(1+$G18/12)^$P18-$L18*((1+$G18/12)^$P18-1)/($G18/12))),"")))</f>
        <v/>
      </c>
      <c r="R18" s="22">
        <f>IF($A18="","",IF(OR($D18="",$E18="",$F18="",$G18="",$H18="",$J18=""),"Check missing input",IF($E18&lt;$D18,"Check payment date",IF(COUNTIF($A$5:$A$104,$A18)&gt;1,"Duplicate loan ID",IF($G18&gt;Assumptions!$B$7,"Review APR input",IF(AND($J18="Active",$O18&lt;Assumptions!$B$4,$Q18&gt;Assumptions!$B$5),"Review past maturity",IF($J18="On Hold","Review on-hold loan","")))))))</f>
        <v/>
      </c>
    </row>
    <row r="19">
      <c r="A19" s="13" t="n"/>
      <c r="B19" s="14" t="n"/>
      <c r="C19" s="14" t="n"/>
      <c r="D19" s="15" t="n"/>
      <c r="E19" s="15" t="n"/>
      <c r="F19" s="16" t="n"/>
      <c r="G19" s="17" t="n"/>
      <c r="H19" s="18" t="n"/>
      <c r="I19" s="16" t="n"/>
      <c r="J19" s="13" t="n"/>
      <c r="K19" s="9">
        <f>IF(OR($A19="",$F19="",$G19="",$H19=""),"",IFERROR(IF($G19=0,$F19/$H19,-PMT($G19/12,$H19,$F19)),""))</f>
        <v/>
      </c>
      <c r="L19" s="9">
        <f>IF($K19="","",IFERROR($K19+IF($I19="",0,$I19),""))</f>
        <v/>
      </c>
      <c r="M19" s="9">
        <f>IF($K19="","",IFERROR(MAX(0,$K19*$H19-$F19),""))</f>
        <v/>
      </c>
      <c r="N19" s="9">
        <f>IF($K19="","",IFERROR($K19*$H19,""))</f>
        <v/>
      </c>
      <c r="O19" s="19">
        <f>IF(OR($E19="",$H19=""),"",IFERROR(EDATE($E19,$H19-1),""))</f>
        <v/>
      </c>
      <c r="P19" s="8">
        <f>IF(OR($A19="",$E19="",$H19="",Assumptions!$B$4=""),"",IFERROR(IF(Assumptions!$B$4&lt;$E19,0,MIN($H19,(YEAR(Assumptions!$B$4)-YEAR($E19))*12+MONTH(Assumptions!$B$4)-MONTH($E19)+IF(DAY(Assumptions!$B$4)&gt;=DAY($E19),1,0))),""))</f>
        <v/>
      </c>
      <c r="Q19" s="9">
        <f>IF(OR($A19="",$F19="",$G19="",$H19="",$L19="",$P19=""),"",IF($J19="Paid",0,IFERROR(MAX(0,IF($G19=0,$F19-$L19*$P19,$F19*(1+$G19/12)^$P19-$L19*((1+$G19/12)^$P19-1)/($G19/12))),"")))</f>
        <v/>
      </c>
      <c r="R19" s="20">
        <f>IF($A19="","",IF(OR($D19="",$E19="",$F19="",$G19="",$H19="",$J19=""),"Check missing input",IF($E19&lt;$D19,"Check payment date",IF(COUNTIF($A$5:$A$104,$A19)&gt;1,"Duplicate loan ID",IF($G19&gt;Assumptions!$B$7,"Review APR input",IF(AND($J19="Active",$O19&lt;Assumptions!$B$4,$Q19&gt;Assumptions!$B$5),"Review past maturity",IF($J19="On Hold","Review on-hold loan","")))))))</f>
        <v/>
      </c>
    </row>
    <row r="20">
      <c r="A20" s="13" t="n"/>
      <c r="B20" s="14" t="n"/>
      <c r="C20" s="14" t="n"/>
      <c r="D20" s="15" t="n"/>
      <c r="E20" s="15" t="n"/>
      <c r="F20" s="16" t="n"/>
      <c r="G20" s="17" t="n"/>
      <c r="H20" s="18" t="n"/>
      <c r="I20" s="16" t="n"/>
      <c r="J20" s="13" t="n"/>
      <c r="K20" s="10">
        <f>IF(OR($A20="",$F20="",$G20="",$H20=""),"",IFERROR(IF($G20=0,$F20/$H20,-PMT($G20/12,$H20,$F20)),""))</f>
        <v/>
      </c>
      <c r="L20" s="10">
        <f>IF($K20="","",IFERROR($K20+IF($I20="",0,$I20),""))</f>
        <v/>
      </c>
      <c r="M20" s="10">
        <f>IF($K20="","",IFERROR(MAX(0,$K20*$H20-$F20),""))</f>
        <v/>
      </c>
      <c r="N20" s="10">
        <f>IF($K20="","",IFERROR($K20*$H20,""))</f>
        <v/>
      </c>
      <c r="O20" s="21">
        <f>IF(OR($E20="",$H20=""),"",IFERROR(EDATE($E20,$H20-1),""))</f>
        <v/>
      </c>
      <c r="P20" s="7">
        <f>IF(OR($A20="",$E20="",$H20="",Assumptions!$B$4=""),"",IFERROR(IF(Assumptions!$B$4&lt;$E20,0,MIN($H20,(YEAR(Assumptions!$B$4)-YEAR($E20))*12+MONTH(Assumptions!$B$4)-MONTH($E20)+IF(DAY(Assumptions!$B$4)&gt;=DAY($E20),1,0))),""))</f>
        <v/>
      </c>
      <c r="Q20" s="10">
        <f>IF(OR($A20="",$F20="",$G20="",$H20="",$L20="",$P20=""),"",IF($J20="Paid",0,IFERROR(MAX(0,IF($G20=0,$F20-$L20*$P20,$F20*(1+$G20/12)^$P20-$L20*((1+$G20/12)^$P20-1)/($G20/12))),"")))</f>
        <v/>
      </c>
      <c r="R20" s="22">
        <f>IF($A20="","",IF(OR($D20="",$E20="",$F20="",$G20="",$H20="",$J20=""),"Check missing input",IF($E20&lt;$D20,"Check payment date",IF(COUNTIF($A$5:$A$104,$A20)&gt;1,"Duplicate loan ID",IF($G20&gt;Assumptions!$B$7,"Review APR input",IF(AND($J20="Active",$O20&lt;Assumptions!$B$4,$Q20&gt;Assumptions!$B$5),"Review past maturity",IF($J20="On Hold","Review on-hold loan","")))))))</f>
        <v/>
      </c>
    </row>
    <row r="21">
      <c r="A21" s="13" t="n"/>
      <c r="B21" s="14" t="n"/>
      <c r="C21" s="14" t="n"/>
      <c r="D21" s="15" t="n"/>
      <c r="E21" s="15" t="n"/>
      <c r="F21" s="16" t="n"/>
      <c r="G21" s="17" t="n"/>
      <c r="H21" s="18" t="n"/>
      <c r="I21" s="16" t="n"/>
      <c r="J21" s="13" t="n"/>
      <c r="K21" s="9">
        <f>IF(OR($A21="",$F21="",$G21="",$H21=""),"",IFERROR(IF($G21=0,$F21/$H21,-PMT($G21/12,$H21,$F21)),""))</f>
        <v/>
      </c>
      <c r="L21" s="9">
        <f>IF($K21="","",IFERROR($K21+IF($I21="",0,$I21),""))</f>
        <v/>
      </c>
      <c r="M21" s="9">
        <f>IF($K21="","",IFERROR(MAX(0,$K21*$H21-$F21),""))</f>
        <v/>
      </c>
      <c r="N21" s="9">
        <f>IF($K21="","",IFERROR($K21*$H21,""))</f>
        <v/>
      </c>
      <c r="O21" s="19">
        <f>IF(OR($E21="",$H21=""),"",IFERROR(EDATE($E21,$H21-1),""))</f>
        <v/>
      </c>
      <c r="P21" s="8">
        <f>IF(OR($A21="",$E21="",$H21="",Assumptions!$B$4=""),"",IFERROR(IF(Assumptions!$B$4&lt;$E21,0,MIN($H21,(YEAR(Assumptions!$B$4)-YEAR($E21))*12+MONTH(Assumptions!$B$4)-MONTH($E21)+IF(DAY(Assumptions!$B$4)&gt;=DAY($E21),1,0))),""))</f>
        <v/>
      </c>
      <c r="Q21" s="9">
        <f>IF(OR($A21="",$F21="",$G21="",$H21="",$L21="",$P21=""),"",IF($J21="Paid",0,IFERROR(MAX(0,IF($G21=0,$F21-$L21*$P21,$F21*(1+$G21/12)^$P21-$L21*((1+$G21/12)^$P21-1)/($G21/12))),"")))</f>
        <v/>
      </c>
      <c r="R21" s="20">
        <f>IF($A21="","",IF(OR($D21="",$E21="",$F21="",$G21="",$H21="",$J21=""),"Check missing input",IF($E21&lt;$D21,"Check payment date",IF(COUNTIF($A$5:$A$104,$A21)&gt;1,"Duplicate loan ID",IF($G21&gt;Assumptions!$B$7,"Review APR input",IF(AND($J21="Active",$O21&lt;Assumptions!$B$4,$Q21&gt;Assumptions!$B$5),"Review past maturity",IF($J21="On Hold","Review on-hold loan","")))))))</f>
        <v/>
      </c>
    </row>
    <row r="22">
      <c r="A22" s="13" t="n"/>
      <c r="B22" s="14" t="n"/>
      <c r="C22" s="14" t="n"/>
      <c r="D22" s="15" t="n"/>
      <c r="E22" s="15" t="n"/>
      <c r="F22" s="16" t="n"/>
      <c r="G22" s="17" t="n"/>
      <c r="H22" s="18" t="n"/>
      <c r="I22" s="16" t="n"/>
      <c r="J22" s="13" t="n"/>
      <c r="K22" s="10">
        <f>IF(OR($A22="",$F22="",$G22="",$H22=""),"",IFERROR(IF($G22=0,$F22/$H22,-PMT($G22/12,$H22,$F22)),""))</f>
        <v/>
      </c>
      <c r="L22" s="10">
        <f>IF($K22="","",IFERROR($K22+IF($I22="",0,$I22),""))</f>
        <v/>
      </c>
      <c r="M22" s="10">
        <f>IF($K22="","",IFERROR(MAX(0,$K22*$H22-$F22),""))</f>
        <v/>
      </c>
      <c r="N22" s="10">
        <f>IF($K22="","",IFERROR($K22*$H22,""))</f>
        <v/>
      </c>
      <c r="O22" s="21">
        <f>IF(OR($E22="",$H22=""),"",IFERROR(EDATE($E22,$H22-1),""))</f>
        <v/>
      </c>
      <c r="P22" s="7">
        <f>IF(OR($A22="",$E22="",$H22="",Assumptions!$B$4=""),"",IFERROR(IF(Assumptions!$B$4&lt;$E22,0,MIN($H22,(YEAR(Assumptions!$B$4)-YEAR($E22))*12+MONTH(Assumptions!$B$4)-MONTH($E22)+IF(DAY(Assumptions!$B$4)&gt;=DAY($E22),1,0))),""))</f>
        <v/>
      </c>
      <c r="Q22" s="10">
        <f>IF(OR($A22="",$F22="",$G22="",$H22="",$L22="",$P22=""),"",IF($J22="Paid",0,IFERROR(MAX(0,IF($G22=0,$F22-$L22*$P22,$F22*(1+$G22/12)^$P22-$L22*((1+$G22/12)^$P22-1)/($G22/12))),"")))</f>
        <v/>
      </c>
      <c r="R22" s="22">
        <f>IF($A22="","",IF(OR($D22="",$E22="",$F22="",$G22="",$H22="",$J22=""),"Check missing input",IF($E22&lt;$D22,"Check payment date",IF(COUNTIF($A$5:$A$104,$A22)&gt;1,"Duplicate loan ID",IF($G22&gt;Assumptions!$B$7,"Review APR input",IF(AND($J22="Active",$O22&lt;Assumptions!$B$4,$Q22&gt;Assumptions!$B$5),"Review past maturity",IF($J22="On Hold","Review on-hold loan","")))))))</f>
        <v/>
      </c>
    </row>
    <row r="23">
      <c r="A23" s="13" t="n"/>
      <c r="B23" s="14" t="n"/>
      <c r="C23" s="14" t="n"/>
      <c r="D23" s="15" t="n"/>
      <c r="E23" s="15" t="n"/>
      <c r="F23" s="16" t="n"/>
      <c r="G23" s="17" t="n"/>
      <c r="H23" s="18" t="n"/>
      <c r="I23" s="16" t="n"/>
      <c r="J23" s="13" t="n"/>
      <c r="K23" s="9">
        <f>IF(OR($A23="",$F23="",$G23="",$H23=""),"",IFERROR(IF($G23=0,$F23/$H23,-PMT($G23/12,$H23,$F23)),""))</f>
        <v/>
      </c>
      <c r="L23" s="9">
        <f>IF($K23="","",IFERROR($K23+IF($I23="",0,$I23),""))</f>
        <v/>
      </c>
      <c r="M23" s="9">
        <f>IF($K23="","",IFERROR(MAX(0,$K23*$H23-$F23),""))</f>
        <v/>
      </c>
      <c r="N23" s="9">
        <f>IF($K23="","",IFERROR($K23*$H23,""))</f>
        <v/>
      </c>
      <c r="O23" s="19">
        <f>IF(OR($E23="",$H23=""),"",IFERROR(EDATE($E23,$H23-1),""))</f>
        <v/>
      </c>
      <c r="P23" s="8">
        <f>IF(OR($A23="",$E23="",$H23="",Assumptions!$B$4=""),"",IFERROR(IF(Assumptions!$B$4&lt;$E23,0,MIN($H23,(YEAR(Assumptions!$B$4)-YEAR($E23))*12+MONTH(Assumptions!$B$4)-MONTH($E23)+IF(DAY(Assumptions!$B$4)&gt;=DAY($E23),1,0))),""))</f>
        <v/>
      </c>
      <c r="Q23" s="9">
        <f>IF(OR($A23="",$F23="",$G23="",$H23="",$L23="",$P23=""),"",IF($J23="Paid",0,IFERROR(MAX(0,IF($G23=0,$F23-$L23*$P23,$F23*(1+$G23/12)^$P23-$L23*((1+$G23/12)^$P23-1)/($G23/12))),"")))</f>
        <v/>
      </c>
      <c r="R23" s="20">
        <f>IF($A23="","",IF(OR($D23="",$E23="",$F23="",$G23="",$H23="",$J23=""),"Check missing input",IF($E23&lt;$D23,"Check payment date",IF(COUNTIF($A$5:$A$104,$A23)&gt;1,"Duplicate loan ID",IF($G23&gt;Assumptions!$B$7,"Review APR input",IF(AND($J23="Active",$O23&lt;Assumptions!$B$4,$Q23&gt;Assumptions!$B$5),"Review past maturity",IF($J23="On Hold","Review on-hold loan","")))))))</f>
        <v/>
      </c>
    </row>
    <row r="24">
      <c r="A24" s="13" t="n"/>
      <c r="B24" s="14" t="n"/>
      <c r="C24" s="14" t="n"/>
      <c r="D24" s="15" t="n"/>
      <c r="E24" s="15" t="n"/>
      <c r="F24" s="16" t="n"/>
      <c r="G24" s="17" t="n"/>
      <c r="H24" s="18" t="n"/>
      <c r="I24" s="16" t="n"/>
      <c r="J24" s="13" t="n"/>
      <c r="K24" s="10">
        <f>IF(OR($A24="",$F24="",$G24="",$H24=""),"",IFERROR(IF($G24=0,$F24/$H24,-PMT($G24/12,$H24,$F24)),""))</f>
        <v/>
      </c>
      <c r="L24" s="10">
        <f>IF($K24="","",IFERROR($K24+IF($I24="",0,$I24),""))</f>
        <v/>
      </c>
      <c r="M24" s="10">
        <f>IF($K24="","",IFERROR(MAX(0,$K24*$H24-$F24),""))</f>
        <v/>
      </c>
      <c r="N24" s="10">
        <f>IF($K24="","",IFERROR($K24*$H24,""))</f>
        <v/>
      </c>
      <c r="O24" s="21">
        <f>IF(OR($E24="",$H24=""),"",IFERROR(EDATE($E24,$H24-1),""))</f>
        <v/>
      </c>
      <c r="P24" s="7">
        <f>IF(OR($A24="",$E24="",$H24="",Assumptions!$B$4=""),"",IFERROR(IF(Assumptions!$B$4&lt;$E24,0,MIN($H24,(YEAR(Assumptions!$B$4)-YEAR($E24))*12+MONTH(Assumptions!$B$4)-MONTH($E24)+IF(DAY(Assumptions!$B$4)&gt;=DAY($E24),1,0))),""))</f>
        <v/>
      </c>
      <c r="Q24" s="10">
        <f>IF(OR($A24="",$F24="",$G24="",$H24="",$L24="",$P24=""),"",IF($J24="Paid",0,IFERROR(MAX(0,IF($G24=0,$F24-$L24*$P24,$F24*(1+$G24/12)^$P24-$L24*((1+$G24/12)^$P24-1)/($G24/12))),"")))</f>
        <v/>
      </c>
      <c r="R24" s="22">
        <f>IF($A24="","",IF(OR($D24="",$E24="",$F24="",$G24="",$H24="",$J24=""),"Check missing input",IF($E24&lt;$D24,"Check payment date",IF(COUNTIF($A$5:$A$104,$A24)&gt;1,"Duplicate loan ID",IF($G24&gt;Assumptions!$B$7,"Review APR input",IF(AND($J24="Active",$O24&lt;Assumptions!$B$4,$Q24&gt;Assumptions!$B$5),"Review past maturity",IF($J24="On Hold","Review on-hold loan","")))))))</f>
        <v/>
      </c>
    </row>
    <row r="25">
      <c r="A25" s="13" t="n"/>
      <c r="B25" s="14" t="n"/>
      <c r="C25" s="14" t="n"/>
      <c r="D25" s="15" t="n"/>
      <c r="E25" s="15" t="n"/>
      <c r="F25" s="16" t="n"/>
      <c r="G25" s="17" t="n"/>
      <c r="H25" s="18" t="n"/>
      <c r="I25" s="16" t="n"/>
      <c r="J25" s="13" t="n"/>
      <c r="K25" s="9">
        <f>IF(OR($A25="",$F25="",$G25="",$H25=""),"",IFERROR(IF($G25=0,$F25/$H25,-PMT($G25/12,$H25,$F25)),""))</f>
        <v/>
      </c>
      <c r="L25" s="9">
        <f>IF($K25="","",IFERROR($K25+IF($I25="",0,$I25),""))</f>
        <v/>
      </c>
      <c r="M25" s="9">
        <f>IF($K25="","",IFERROR(MAX(0,$K25*$H25-$F25),""))</f>
        <v/>
      </c>
      <c r="N25" s="9">
        <f>IF($K25="","",IFERROR($K25*$H25,""))</f>
        <v/>
      </c>
      <c r="O25" s="19">
        <f>IF(OR($E25="",$H25=""),"",IFERROR(EDATE($E25,$H25-1),""))</f>
        <v/>
      </c>
      <c r="P25" s="8">
        <f>IF(OR($A25="",$E25="",$H25="",Assumptions!$B$4=""),"",IFERROR(IF(Assumptions!$B$4&lt;$E25,0,MIN($H25,(YEAR(Assumptions!$B$4)-YEAR($E25))*12+MONTH(Assumptions!$B$4)-MONTH($E25)+IF(DAY(Assumptions!$B$4)&gt;=DAY($E25),1,0))),""))</f>
        <v/>
      </c>
      <c r="Q25" s="9">
        <f>IF(OR($A25="",$F25="",$G25="",$H25="",$L25="",$P25=""),"",IF($J25="Paid",0,IFERROR(MAX(0,IF($G25=0,$F25-$L25*$P25,$F25*(1+$G25/12)^$P25-$L25*((1+$G25/12)^$P25-1)/($G25/12))),"")))</f>
        <v/>
      </c>
      <c r="R25" s="20">
        <f>IF($A25="","",IF(OR($D25="",$E25="",$F25="",$G25="",$H25="",$J25=""),"Check missing input",IF($E25&lt;$D25,"Check payment date",IF(COUNTIF($A$5:$A$104,$A25)&gt;1,"Duplicate loan ID",IF($G25&gt;Assumptions!$B$7,"Review APR input",IF(AND($J25="Active",$O25&lt;Assumptions!$B$4,$Q25&gt;Assumptions!$B$5),"Review past maturity",IF($J25="On Hold","Review on-hold loan","")))))))</f>
        <v/>
      </c>
    </row>
    <row r="26">
      <c r="A26" s="13" t="n"/>
      <c r="B26" s="14" t="n"/>
      <c r="C26" s="14" t="n"/>
      <c r="D26" s="15" t="n"/>
      <c r="E26" s="15" t="n"/>
      <c r="F26" s="16" t="n"/>
      <c r="G26" s="17" t="n"/>
      <c r="H26" s="18" t="n"/>
      <c r="I26" s="16" t="n"/>
      <c r="J26" s="13" t="n"/>
      <c r="K26" s="10">
        <f>IF(OR($A26="",$F26="",$G26="",$H26=""),"",IFERROR(IF($G26=0,$F26/$H26,-PMT($G26/12,$H26,$F26)),""))</f>
        <v/>
      </c>
      <c r="L26" s="10">
        <f>IF($K26="","",IFERROR($K26+IF($I26="",0,$I26),""))</f>
        <v/>
      </c>
      <c r="M26" s="10">
        <f>IF($K26="","",IFERROR(MAX(0,$K26*$H26-$F26),""))</f>
        <v/>
      </c>
      <c r="N26" s="10">
        <f>IF($K26="","",IFERROR($K26*$H26,""))</f>
        <v/>
      </c>
      <c r="O26" s="21">
        <f>IF(OR($E26="",$H26=""),"",IFERROR(EDATE($E26,$H26-1),""))</f>
        <v/>
      </c>
      <c r="P26" s="7">
        <f>IF(OR($A26="",$E26="",$H26="",Assumptions!$B$4=""),"",IFERROR(IF(Assumptions!$B$4&lt;$E26,0,MIN($H26,(YEAR(Assumptions!$B$4)-YEAR($E26))*12+MONTH(Assumptions!$B$4)-MONTH($E26)+IF(DAY(Assumptions!$B$4)&gt;=DAY($E26),1,0))),""))</f>
        <v/>
      </c>
      <c r="Q26" s="10">
        <f>IF(OR($A26="",$F26="",$G26="",$H26="",$L26="",$P26=""),"",IF($J26="Paid",0,IFERROR(MAX(0,IF($G26=0,$F26-$L26*$P26,$F26*(1+$G26/12)^$P26-$L26*((1+$G26/12)^$P26-1)/($G26/12))),"")))</f>
        <v/>
      </c>
      <c r="R26" s="22">
        <f>IF($A26="","",IF(OR($D26="",$E26="",$F26="",$G26="",$H26="",$J26=""),"Check missing input",IF($E26&lt;$D26,"Check payment date",IF(COUNTIF($A$5:$A$104,$A26)&gt;1,"Duplicate loan ID",IF($G26&gt;Assumptions!$B$7,"Review APR input",IF(AND($J26="Active",$O26&lt;Assumptions!$B$4,$Q26&gt;Assumptions!$B$5),"Review past maturity",IF($J26="On Hold","Review on-hold loan","")))))))</f>
        <v/>
      </c>
    </row>
    <row r="27">
      <c r="A27" s="13" t="n"/>
      <c r="B27" s="14" t="n"/>
      <c r="C27" s="14" t="n"/>
      <c r="D27" s="15" t="n"/>
      <c r="E27" s="15" t="n"/>
      <c r="F27" s="16" t="n"/>
      <c r="G27" s="17" t="n"/>
      <c r="H27" s="18" t="n"/>
      <c r="I27" s="16" t="n"/>
      <c r="J27" s="13" t="n"/>
      <c r="K27" s="9">
        <f>IF(OR($A27="",$F27="",$G27="",$H27=""),"",IFERROR(IF($G27=0,$F27/$H27,-PMT($G27/12,$H27,$F27)),""))</f>
        <v/>
      </c>
      <c r="L27" s="9">
        <f>IF($K27="","",IFERROR($K27+IF($I27="",0,$I27),""))</f>
        <v/>
      </c>
      <c r="M27" s="9">
        <f>IF($K27="","",IFERROR(MAX(0,$K27*$H27-$F27),""))</f>
        <v/>
      </c>
      <c r="N27" s="9">
        <f>IF($K27="","",IFERROR($K27*$H27,""))</f>
        <v/>
      </c>
      <c r="O27" s="19">
        <f>IF(OR($E27="",$H27=""),"",IFERROR(EDATE($E27,$H27-1),""))</f>
        <v/>
      </c>
      <c r="P27" s="8">
        <f>IF(OR($A27="",$E27="",$H27="",Assumptions!$B$4=""),"",IFERROR(IF(Assumptions!$B$4&lt;$E27,0,MIN($H27,(YEAR(Assumptions!$B$4)-YEAR($E27))*12+MONTH(Assumptions!$B$4)-MONTH($E27)+IF(DAY(Assumptions!$B$4)&gt;=DAY($E27),1,0))),""))</f>
        <v/>
      </c>
      <c r="Q27" s="9">
        <f>IF(OR($A27="",$F27="",$G27="",$H27="",$L27="",$P27=""),"",IF($J27="Paid",0,IFERROR(MAX(0,IF($G27=0,$F27-$L27*$P27,$F27*(1+$G27/12)^$P27-$L27*((1+$G27/12)^$P27-1)/($G27/12))),"")))</f>
        <v/>
      </c>
      <c r="R27" s="20">
        <f>IF($A27="","",IF(OR($D27="",$E27="",$F27="",$G27="",$H27="",$J27=""),"Check missing input",IF($E27&lt;$D27,"Check payment date",IF(COUNTIF($A$5:$A$104,$A27)&gt;1,"Duplicate loan ID",IF($G27&gt;Assumptions!$B$7,"Review APR input",IF(AND($J27="Active",$O27&lt;Assumptions!$B$4,$Q27&gt;Assumptions!$B$5),"Review past maturity",IF($J27="On Hold","Review on-hold loan","")))))))</f>
        <v/>
      </c>
    </row>
    <row r="28">
      <c r="A28" s="13" t="n"/>
      <c r="B28" s="14" t="n"/>
      <c r="C28" s="14" t="n"/>
      <c r="D28" s="15" t="n"/>
      <c r="E28" s="15" t="n"/>
      <c r="F28" s="16" t="n"/>
      <c r="G28" s="17" t="n"/>
      <c r="H28" s="18" t="n"/>
      <c r="I28" s="16" t="n"/>
      <c r="J28" s="13" t="n"/>
      <c r="K28" s="10">
        <f>IF(OR($A28="",$F28="",$G28="",$H28=""),"",IFERROR(IF($G28=0,$F28/$H28,-PMT($G28/12,$H28,$F28)),""))</f>
        <v/>
      </c>
      <c r="L28" s="10">
        <f>IF($K28="","",IFERROR($K28+IF($I28="",0,$I28),""))</f>
        <v/>
      </c>
      <c r="M28" s="10">
        <f>IF($K28="","",IFERROR(MAX(0,$K28*$H28-$F28),""))</f>
        <v/>
      </c>
      <c r="N28" s="10">
        <f>IF($K28="","",IFERROR($K28*$H28,""))</f>
        <v/>
      </c>
      <c r="O28" s="21">
        <f>IF(OR($E28="",$H28=""),"",IFERROR(EDATE($E28,$H28-1),""))</f>
        <v/>
      </c>
      <c r="P28" s="7">
        <f>IF(OR($A28="",$E28="",$H28="",Assumptions!$B$4=""),"",IFERROR(IF(Assumptions!$B$4&lt;$E28,0,MIN($H28,(YEAR(Assumptions!$B$4)-YEAR($E28))*12+MONTH(Assumptions!$B$4)-MONTH($E28)+IF(DAY(Assumptions!$B$4)&gt;=DAY($E28),1,0))),""))</f>
        <v/>
      </c>
      <c r="Q28" s="10">
        <f>IF(OR($A28="",$F28="",$G28="",$H28="",$L28="",$P28=""),"",IF($J28="Paid",0,IFERROR(MAX(0,IF($G28=0,$F28-$L28*$P28,$F28*(1+$G28/12)^$P28-$L28*((1+$G28/12)^$P28-1)/($G28/12))),"")))</f>
        <v/>
      </c>
      <c r="R28" s="22">
        <f>IF($A28="","",IF(OR($D28="",$E28="",$F28="",$G28="",$H28="",$J28=""),"Check missing input",IF($E28&lt;$D28,"Check payment date",IF(COUNTIF($A$5:$A$104,$A28)&gt;1,"Duplicate loan ID",IF($G28&gt;Assumptions!$B$7,"Review APR input",IF(AND($J28="Active",$O28&lt;Assumptions!$B$4,$Q28&gt;Assumptions!$B$5),"Review past maturity",IF($J28="On Hold","Review on-hold loan","")))))))</f>
        <v/>
      </c>
    </row>
    <row r="29">
      <c r="A29" s="13" t="n"/>
      <c r="B29" s="14" t="n"/>
      <c r="C29" s="14" t="n"/>
      <c r="D29" s="15" t="n"/>
      <c r="E29" s="15" t="n"/>
      <c r="F29" s="16" t="n"/>
      <c r="G29" s="17" t="n"/>
      <c r="H29" s="18" t="n"/>
      <c r="I29" s="16" t="n"/>
      <c r="J29" s="13" t="n"/>
      <c r="K29" s="9">
        <f>IF(OR($A29="",$F29="",$G29="",$H29=""),"",IFERROR(IF($G29=0,$F29/$H29,-PMT($G29/12,$H29,$F29)),""))</f>
        <v/>
      </c>
      <c r="L29" s="9">
        <f>IF($K29="","",IFERROR($K29+IF($I29="",0,$I29),""))</f>
        <v/>
      </c>
      <c r="M29" s="9">
        <f>IF($K29="","",IFERROR(MAX(0,$K29*$H29-$F29),""))</f>
        <v/>
      </c>
      <c r="N29" s="9">
        <f>IF($K29="","",IFERROR($K29*$H29,""))</f>
        <v/>
      </c>
      <c r="O29" s="19">
        <f>IF(OR($E29="",$H29=""),"",IFERROR(EDATE($E29,$H29-1),""))</f>
        <v/>
      </c>
      <c r="P29" s="8">
        <f>IF(OR($A29="",$E29="",$H29="",Assumptions!$B$4=""),"",IFERROR(IF(Assumptions!$B$4&lt;$E29,0,MIN($H29,(YEAR(Assumptions!$B$4)-YEAR($E29))*12+MONTH(Assumptions!$B$4)-MONTH($E29)+IF(DAY(Assumptions!$B$4)&gt;=DAY($E29),1,0))),""))</f>
        <v/>
      </c>
      <c r="Q29" s="9">
        <f>IF(OR($A29="",$F29="",$G29="",$H29="",$L29="",$P29=""),"",IF($J29="Paid",0,IFERROR(MAX(0,IF($G29=0,$F29-$L29*$P29,$F29*(1+$G29/12)^$P29-$L29*((1+$G29/12)^$P29-1)/($G29/12))),"")))</f>
        <v/>
      </c>
      <c r="R29" s="20">
        <f>IF($A29="","",IF(OR($D29="",$E29="",$F29="",$G29="",$H29="",$J29=""),"Check missing input",IF($E29&lt;$D29,"Check payment date",IF(COUNTIF($A$5:$A$104,$A29)&gt;1,"Duplicate loan ID",IF($G29&gt;Assumptions!$B$7,"Review APR input",IF(AND($J29="Active",$O29&lt;Assumptions!$B$4,$Q29&gt;Assumptions!$B$5),"Review past maturity",IF($J29="On Hold","Review on-hold loan","")))))))</f>
        <v/>
      </c>
    </row>
    <row r="30">
      <c r="A30" s="13" t="n"/>
      <c r="B30" s="14" t="n"/>
      <c r="C30" s="14" t="n"/>
      <c r="D30" s="15" t="n"/>
      <c r="E30" s="15" t="n"/>
      <c r="F30" s="16" t="n"/>
      <c r="G30" s="17" t="n"/>
      <c r="H30" s="18" t="n"/>
      <c r="I30" s="16" t="n"/>
      <c r="J30" s="13" t="n"/>
      <c r="K30" s="10">
        <f>IF(OR($A30="",$F30="",$G30="",$H30=""),"",IFERROR(IF($G30=0,$F30/$H30,-PMT($G30/12,$H30,$F30)),""))</f>
        <v/>
      </c>
      <c r="L30" s="10">
        <f>IF($K30="","",IFERROR($K30+IF($I30="",0,$I30),""))</f>
        <v/>
      </c>
      <c r="M30" s="10">
        <f>IF($K30="","",IFERROR(MAX(0,$K30*$H30-$F30),""))</f>
        <v/>
      </c>
      <c r="N30" s="10">
        <f>IF($K30="","",IFERROR($K30*$H30,""))</f>
        <v/>
      </c>
      <c r="O30" s="21">
        <f>IF(OR($E30="",$H30=""),"",IFERROR(EDATE($E30,$H30-1),""))</f>
        <v/>
      </c>
      <c r="P30" s="7">
        <f>IF(OR($A30="",$E30="",$H30="",Assumptions!$B$4=""),"",IFERROR(IF(Assumptions!$B$4&lt;$E30,0,MIN($H30,(YEAR(Assumptions!$B$4)-YEAR($E30))*12+MONTH(Assumptions!$B$4)-MONTH($E30)+IF(DAY(Assumptions!$B$4)&gt;=DAY($E30),1,0))),""))</f>
        <v/>
      </c>
      <c r="Q30" s="10">
        <f>IF(OR($A30="",$F30="",$G30="",$H30="",$L30="",$P30=""),"",IF($J30="Paid",0,IFERROR(MAX(0,IF($G30=0,$F30-$L30*$P30,$F30*(1+$G30/12)^$P30-$L30*((1+$G30/12)^$P30-1)/($G30/12))),"")))</f>
        <v/>
      </c>
      <c r="R30" s="22">
        <f>IF($A30="","",IF(OR($D30="",$E30="",$F30="",$G30="",$H30="",$J30=""),"Check missing input",IF($E30&lt;$D30,"Check payment date",IF(COUNTIF($A$5:$A$104,$A30)&gt;1,"Duplicate loan ID",IF($G30&gt;Assumptions!$B$7,"Review APR input",IF(AND($J30="Active",$O30&lt;Assumptions!$B$4,$Q30&gt;Assumptions!$B$5),"Review past maturity",IF($J30="On Hold","Review on-hold loan","")))))))</f>
        <v/>
      </c>
    </row>
    <row r="31">
      <c r="A31" s="13" t="n"/>
      <c r="B31" s="14" t="n"/>
      <c r="C31" s="14" t="n"/>
      <c r="D31" s="15" t="n"/>
      <c r="E31" s="15" t="n"/>
      <c r="F31" s="16" t="n"/>
      <c r="G31" s="17" t="n"/>
      <c r="H31" s="18" t="n"/>
      <c r="I31" s="16" t="n"/>
      <c r="J31" s="13" t="n"/>
      <c r="K31" s="9">
        <f>IF(OR($A31="",$F31="",$G31="",$H31=""),"",IFERROR(IF($G31=0,$F31/$H31,-PMT($G31/12,$H31,$F31)),""))</f>
        <v/>
      </c>
      <c r="L31" s="9">
        <f>IF($K31="","",IFERROR($K31+IF($I31="",0,$I31),""))</f>
        <v/>
      </c>
      <c r="M31" s="9">
        <f>IF($K31="","",IFERROR(MAX(0,$K31*$H31-$F31),""))</f>
        <v/>
      </c>
      <c r="N31" s="9">
        <f>IF($K31="","",IFERROR($K31*$H31,""))</f>
        <v/>
      </c>
      <c r="O31" s="19">
        <f>IF(OR($E31="",$H31=""),"",IFERROR(EDATE($E31,$H31-1),""))</f>
        <v/>
      </c>
      <c r="P31" s="8">
        <f>IF(OR($A31="",$E31="",$H31="",Assumptions!$B$4=""),"",IFERROR(IF(Assumptions!$B$4&lt;$E31,0,MIN($H31,(YEAR(Assumptions!$B$4)-YEAR($E31))*12+MONTH(Assumptions!$B$4)-MONTH($E31)+IF(DAY(Assumptions!$B$4)&gt;=DAY($E31),1,0))),""))</f>
        <v/>
      </c>
      <c r="Q31" s="9">
        <f>IF(OR($A31="",$F31="",$G31="",$H31="",$L31="",$P31=""),"",IF($J31="Paid",0,IFERROR(MAX(0,IF($G31=0,$F31-$L31*$P31,$F31*(1+$G31/12)^$P31-$L31*((1+$G31/12)^$P31-1)/($G31/12))),"")))</f>
        <v/>
      </c>
      <c r="R31" s="20">
        <f>IF($A31="","",IF(OR($D31="",$E31="",$F31="",$G31="",$H31="",$J31=""),"Check missing input",IF($E31&lt;$D31,"Check payment date",IF(COUNTIF($A$5:$A$104,$A31)&gt;1,"Duplicate loan ID",IF($G31&gt;Assumptions!$B$7,"Review APR input",IF(AND($J31="Active",$O31&lt;Assumptions!$B$4,$Q31&gt;Assumptions!$B$5),"Review past maturity",IF($J31="On Hold","Review on-hold loan","")))))))</f>
        <v/>
      </c>
    </row>
    <row r="32">
      <c r="A32" s="13" t="n"/>
      <c r="B32" s="14" t="n"/>
      <c r="C32" s="14" t="n"/>
      <c r="D32" s="15" t="n"/>
      <c r="E32" s="15" t="n"/>
      <c r="F32" s="16" t="n"/>
      <c r="G32" s="17" t="n"/>
      <c r="H32" s="18" t="n"/>
      <c r="I32" s="16" t="n"/>
      <c r="J32" s="13" t="n"/>
      <c r="K32" s="10">
        <f>IF(OR($A32="",$F32="",$G32="",$H32=""),"",IFERROR(IF($G32=0,$F32/$H32,-PMT($G32/12,$H32,$F32)),""))</f>
        <v/>
      </c>
      <c r="L32" s="10">
        <f>IF($K32="","",IFERROR($K32+IF($I32="",0,$I32),""))</f>
        <v/>
      </c>
      <c r="M32" s="10">
        <f>IF($K32="","",IFERROR(MAX(0,$K32*$H32-$F32),""))</f>
        <v/>
      </c>
      <c r="N32" s="10">
        <f>IF($K32="","",IFERROR($K32*$H32,""))</f>
        <v/>
      </c>
      <c r="O32" s="21">
        <f>IF(OR($E32="",$H32=""),"",IFERROR(EDATE($E32,$H32-1),""))</f>
        <v/>
      </c>
      <c r="P32" s="7">
        <f>IF(OR($A32="",$E32="",$H32="",Assumptions!$B$4=""),"",IFERROR(IF(Assumptions!$B$4&lt;$E32,0,MIN($H32,(YEAR(Assumptions!$B$4)-YEAR($E32))*12+MONTH(Assumptions!$B$4)-MONTH($E32)+IF(DAY(Assumptions!$B$4)&gt;=DAY($E32),1,0))),""))</f>
        <v/>
      </c>
      <c r="Q32" s="10">
        <f>IF(OR($A32="",$F32="",$G32="",$H32="",$L32="",$P32=""),"",IF($J32="Paid",0,IFERROR(MAX(0,IF($G32=0,$F32-$L32*$P32,$F32*(1+$G32/12)^$P32-$L32*((1+$G32/12)^$P32-1)/($G32/12))),"")))</f>
        <v/>
      </c>
      <c r="R32" s="22">
        <f>IF($A32="","",IF(OR($D32="",$E32="",$F32="",$G32="",$H32="",$J32=""),"Check missing input",IF($E32&lt;$D32,"Check payment date",IF(COUNTIF($A$5:$A$104,$A32)&gt;1,"Duplicate loan ID",IF($G32&gt;Assumptions!$B$7,"Review APR input",IF(AND($J32="Active",$O32&lt;Assumptions!$B$4,$Q32&gt;Assumptions!$B$5),"Review past maturity",IF($J32="On Hold","Review on-hold loan","")))))))</f>
        <v/>
      </c>
    </row>
    <row r="33">
      <c r="A33" s="13" t="n"/>
      <c r="B33" s="14" t="n"/>
      <c r="C33" s="14" t="n"/>
      <c r="D33" s="15" t="n"/>
      <c r="E33" s="15" t="n"/>
      <c r="F33" s="16" t="n"/>
      <c r="G33" s="17" t="n"/>
      <c r="H33" s="18" t="n"/>
      <c r="I33" s="16" t="n"/>
      <c r="J33" s="13" t="n"/>
      <c r="K33" s="9">
        <f>IF(OR($A33="",$F33="",$G33="",$H33=""),"",IFERROR(IF($G33=0,$F33/$H33,-PMT($G33/12,$H33,$F33)),""))</f>
        <v/>
      </c>
      <c r="L33" s="9">
        <f>IF($K33="","",IFERROR($K33+IF($I33="",0,$I33),""))</f>
        <v/>
      </c>
      <c r="M33" s="9">
        <f>IF($K33="","",IFERROR(MAX(0,$K33*$H33-$F33),""))</f>
        <v/>
      </c>
      <c r="N33" s="9">
        <f>IF($K33="","",IFERROR($K33*$H33,""))</f>
        <v/>
      </c>
      <c r="O33" s="19">
        <f>IF(OR($E33="",$H33=""),"",IFERROR(EDATE($E33,$H33-1),""))</f>
        <v/>
      </c>
      <c r="P33" s="8">
        <f>IF(OR($A33="",$E33="",$H33="",Assumptions!$B$4=""),"",IFERROR(IF(Assumptions!$B$4&lt;$E33,0,MIN($H33,(YEAR(Assumptions!$B$4)-YEAR($E33))*12+MONTH(Assumptions!$B$4)-MONTH($E33)+IF(DAY(Assumptions!$B$4)&gt;=DAY($E33),1,0))),""))</f>
        <v/>
      </c>
      <c r="Q33" s="9">
        <f>IF(OR($A33="",$F33="",$G33="",$H33="",$L33="",$P33=""),"",IF($J33="Paid",0,IFERROR(MAX(0,IF($G33=0,$F33-$L33*$P33,$F33*(1+$G33/12)^$P33-$L33*((1+$G33/12)^$P33-1)/($G33/12))),"")))</f>
        <v/>
      </c>
      <c r="R33" s="20">
        <f>IF($A33="","",IF(OR($D33="",$E33="",$F33="",$G33="",$H33="",$J33=""),"Check missing input",IF($E33&lt;$D33,"Check payment date",IF(COUNTIF($A$5:$A$104,$A33)&gt;1,"Duplicate loan ID",IF($G33&gt;Assumptions!$B$7,"Review APR input",IF(AND($J33="Active",$O33&lt;Assumptions!$B$4,$Q33&gt;Assumptions!$B$5),"Review past maturity",IF($J33="On Hold","Review on-hold loan","")))))))</f>
        <v/>
      </c>
    </row>
    <row r="34">
      <c r="A34" s="13" t="n"/>
      <c r="B34" s="14" t="n"/>
      <c r="C34" s="14" t="n"/>
      <c r="D34" s="15" t="n"/>
      <c r="E34" s="15" t="n"/>
      <c r="F34" s="16" t="n"/>
      <c r="G34" s="17" t="n"/>
      <c r="H34" s="18" t="n"/>
      <c r="I34" s="16" t="n"/>
      <c r="J34" s="13" t="n"/>
      <c r="K34" s="10">
        <f>IF(OR($A34="",$F34="",$G34="",$H34=""),"",IFERROR(IF($G34=0,$F34/$H34,-PMT($G34/12,$H34,$F34)),""))</f>
        <v/>
      </c>
      <c r="L34" s="10">
        <f>IF($K34="","",IFERROR($K34+IF($I34="",0,$I34),""))</f>
        <v/>
      </c>
      <c r="M34" s="10">
        <f>IF($K34="","",IFERROR(MAX(0,$K34*$H34-$F34),""))</f>
        <v/>
      </c>
      <c r="N34" s="10">
        <f>IF($K34="","",IFERROR($K34*$H34,""))</f>
        <v/>
      </c>
      <c r="O34" s="21">
        <f>IF(OR($E34="",$H34=""),"",IFERROR(EDATE($E34,$H34-1),""))</f>
        <v/>
      </c>
      <c r="P34" s="7">
        <f>IF(OR($A34="",$E34="",$H34="",Assumptions!$B$4=""),"",IFERROR(IF(Assumptions!$B$4&lt;$E34,0,MIN($H34,(YEAR(Assumptions!$B$4)-YEAR($E34))*12+MONTH(Assumptions!$B$4)-MONTH($E34)+IF(DAY(Assumptions!$B$4)&gt;=DAY($E34),1,0))),""))</f>
        <v/>
      </c>
      <c r="Q34" s="10">
        <f>IF(OR($A34="",$F34="",$G34="",$H34="",$L34="",$P34=""),"",IF($J34="Paid",0,IFERROR(MAX(0,IF($G34=0,$F34-$L34*$P34,$F34*(1+$G34/12)^$P34-$L34*((1+$G34/12)^$P34-1)/($G34/12))),"")))</f>
        <v/>
      </c>
      <c r="R34" s="22">
        <f>IF($A34="","",IF(OR($D34="",$E34="",$F34="",$G34="",$H34="",$J34=""),"Check missing input",IF($E34&lt;$D34,"Check payment date",IF(COUNTIF($A$5:$A$104,$A34)&gt;1,"Duplicate loan ID",IF($G34&gt;Assumptions!$B$7,"Review APR input",IF(AND($J34="Active",$O34&lt;Assumptions!$B$4,$Q34&gt;Assumptions!$B$5),"Review past maturity",IF($J34="On Hold","Review on-hold loan","")))))))</f>
        <v/>
      </c>
    </row>
    <row r="35">
      <c r="A35" s="13" t="n"/>
      <c r="B35" s="14" t="n"/>
      <c r="C35" s="14" t="n"/>
      <c r="D35" s="15" t="n"/>
      <c r="E35" s="15" t="n"/>
      <c r="F35" s="16" t="n"/>
      <c r="G35" s="17" t="n"/>
      <c r="H35" s="18" t="n"/>
      <c r="I35" s="16" t="n"/>
      <c r="J35" s="13" t="n"/>
      <c r="K35" s="9">
        <f>IF(OR($A35="",$F35="",$G35="",$H35=""),"",IFERROR(IF($G35=0,$F35/$H35,-PMT($G35/12,$H35,$F35)),""))</f>
        <v/>
      </c>
      <c r="L35" s="9">
        <f>IF($K35="","",IFERROR($K35+IF($I35="",0,$I35),""))</f>
        <v/>
      </c>
      <c r="M35" s="9">
        <f>IF($K35="","",IFERROR(MAX(0,$K35*$H35-$F35),""))</f>
        <v/>
      </c>
      <c r="N35" s="9">
        <f>IF($K35="","",IFERROR($K35*$H35,""))</f>
        <v/>
      </c>
      <c r="O35" s="19">
        <f>IF(OR($E35="",$H35=""),"",IFERROR(EDATE($E35,$H35-1),""))</f>
        <v/>
      </c>
      <c r="P35" s="8">
        <f>IF(OR($A35="",$E35="",$H35="",Assumptions!$B$4=""),"",IFERROR(IF(Assumptions!$B$4&lt;$E35,0,MIN($H35,(YEAR(Assumptions!$B$4)-YEAR($E35))*12+MONTH(Assumptions!$B$4)-MONTH($E35)+IF(DAY(Assumptions!$B$4)&gt;=DAY($E35),1,0))),""))</f>
        <v/>
      </c>
      <c r="Q35" s="9">
        <f>IF(OR($A35="",$F35="",$G35="",$H35="",$L35="",$P35=""),"",IF($J35="Paid",0,IFERROR(MAX(0,IF($G35=0,$F35-$L35*$P35,$F35*(1+$G35/12)^$P35-$L35*((1+$G35/12)^$P35-1)/($G35/12))),"")))</f>
        <v/>
      </c>
      <c r="R35" s="20">
        <f>IF($A35="","",IF(OR($D35="",$E35="",$F35="",$G35="",$H35="",$J35=""),"Check missing input",IF($E35&lt;$D35,"Check payment date",IF(COUNTIF($A$5:$A$104,$A35)&gt;1,"Duplicate loan ID",IF($G35&gt;Assumptions!$B$7,"Review APR input",IF(AND($J35="Active",$O35&lt;Assumptions!$B$4,$Q35&gt;Assumptions!$B$5),"Review past maturity",IF($J35="On Hold","Review on-hold loan","")))))))</f>
        <v/>
      </c>
    </row>
    <row r="36">
      <c r="A36" s="13" t="n"/>
      <c r="B36" s="14" t="n"/>
      <c r="C36" s="14" t="n"/>
      <c r="D36" s="15" t="n"/>
      <c r="E36" s="15" t="n"/>
      <c r="F36" s="16" t="n"/>
      <c r="G36" s="17" t="n"/>
      <c r="H36" s="18" t="n"/>
      <c r="I36" s="16" t="n"/>
      <c r="J36" s="13" t="n"/>
      <c r="K36" s="10">
        <f>IF(OR($A36="",$F36="",$G36="",$H36=""),"",IFERROR(IF($G36=0,$F36/$H36,-PMT($G36/12,$H36,$F36)),""))</f>
        <v/>
      </c>
      <c r="L36" s="10">
        <f>IF($K36="","",IFERROR($K36+IF($I36="",0,$I36),""))</f>
        <v/>
      </c>
      <c r="M36" s="10">
        <f>IF($K36="","",IFERROR(MAX(0,$K36*$H36-$F36),""))</f>
        <v/>
      </c>
      <c r="N36" s="10">
        <f>IF($K36="","",IFERROR($K36*$H36,""))</f>
        <v/>
      </c>
      <c r="O36" s="21">
        <f>IF(OR($E36="",$H36=""),"",IFERROR(EDATE($E36,$H36-1),""))</f>
        <v/>
      </c>
      <c r="P36" s="7">
        <f>IF(OR($A36="",$E36="",$H36="",Assumptions!$B$4=""),"",IFERROR(IF(Assumptions!$B$4&lt;$E36,0,MIN($H36,(YEAR(Assumptions!$B$4)-YEAR($E36))*12+MONTH(Assumptions!$B$4)-MONTH($E36)+IF(DAY(Assumptions!$B$4)&gt;=DAY($E36),1,0))),""))</f>
        <v/>
      </c>
      <c r="Q36" s="10">
        <f>IF(OR($A36="",$F36="",$G36="",$H36="",$L36="",$P36=""),"",IF($J36="Paid",0,IFERROR(MAX(0,IF($G36=0,$F36-$L36*$P36,$F36*(1+$G36/12)^$P36-$L36*((1+$G36/12)^$P36-1)/($G36/12))),"")))</f>
        <v/>
      </c>
      <c r="R36" s="22">
        <f>IF($A36="","",IF(OR($D36="",$E36="",$F36="",$G36="",$H36="",$J36=""),"Check missing input",IF($E36&lt;$D36,"Check payment date",IF(COUNTIF($A$5:$A$104,$A36)&gt;1,"Duplicate loan ID",IF($G36&gt;Assumptions!$B$7,"Review APR input",IF(AND($J36="Active",$O36&lt;Assumptions!$B$4,$Q36&gt;Assumptions!$B$5),"Review past maturity",IF($J36="On Hold","Review on-hold loan","")))))))</f>
        <v/>
      </c>
    </row>
    <row r="37">
      <c r="A37" s="13" t="n"/>
      <c r="B37" s="14" t="n"/>
      <c r="C37" s="14" t="n"/>
      <c r="D37" s="15" t="n"/>
      <c r="E37" s="15" t="n"/>
      <c r="F37" s="16" t="n"/>
      <c r="G37" s="17" t="n"/>
      <c r="H37" s="18" t="n"/>
      <c r="I37" s="16" t="n"/>
      <c r="J37" s="13" t="n"/>
      <c r="K37" s="9">
        <f>IF(OR($A37="",$F37="",$G37="",$H37=""),"",IFERROR(IF($G37=0,$F37/$H37,-PMT($G37/12,$H37,$F37)),""))</f>
        <v/>
      </c>
      <c r="L37" s="9">
        <f>IF($K37="","",IFERROR($K37+IF($I37="",0,$I37),""))</f>
        <v/>
      </c>
      <c r="M37" s="9">
        <f>IF($K37="","",IFERROR(MAX(0,$K37*$H37-$F37),""))</f>
        <v/>
      </c>
      <c r="N37" s="9">
        <f>IF($K37="","",IFERROR($K37*$H37,""))</f>
        <v/>
      </c>
      <c r="O37" s="19">
        <f>IF(OR($E37="",$H37=""),"",IFERROR(EDATE($E37,$H37-1),""))</f>
        <v/>
      </c>
      <c r="P37" s="8">
        <f>IF(OR($A37="",$E37="",$H37="",Assumptions!$B$4=""),"",IFERROR(IF(Assumptions!$B$4&lt;$E37,0,MIN($H37,(YEAR(Assumptions!$B$4)-YEAR($E37))*12+MONTH(Assumptions!$B$4)-MONTH($E37)+IF(DAY(Assumptions!$B$4)&gt;=DAY($E37),1,0))),""))</f>
        <v/>
      </c>
      <c r="Q37" s="9">
        <f>IF(OR($A37="",$F37="",$G37="",$H37="",$L37="",$P37=""),"",IF($J37="Paid",0,IFERROR(MAX(0,IF($G37=0,$F37-$L37*$P37,$F37*(1+$G37/12)^$P37-$L37*((1+$G37/12)^$P37-1)/($G37/12))),"")))</f>
        <v/>
      </c>
      <c r="R37" s="20">
        <f>IF($A37="","",IF(OR($D37="",$E37="",$F37="",$G37="",$H37="",$J37=""),"Check missing input",IF($E37&lt;$D37,"Check payment date",IF(COUNTIF($A$5:$A$104,$A37)&gt;1,"Duplicate loan ID",IF($G37&gt;Assumptions!$B$7,"Review APR input",IF(AND($J37="Active",$O37&lt;Assumptions!$B$4,$Q37&gt;Assumptions!$B$5),"Review past maturity",IF($J37="On Hold","Review on-hold loan","")))))))</f>
        <v/>
      </c>
    </row>
    <row r="38">
      <c r="A38" s="13" t="n"/>
      <c r="B38" s="14" t="n"/>
      <c r="C38" s="14" t="n"/>
      <c r="D38" s="15" t="n"/>
      <c r="E38" s="15" t="n"/>
      <c r="F38" s="16" t="n"/>
      <c r="G38" s="17" t="n"/>
      <c r="H38" s="18" t="n"/>
      <c r="I38" s="16" t="n"/>
      <c r="J38" s="13" t="n"/>
      <c r="K38" s="10">
        <f>IF(OR($A38="",$F38="",$G38="",$H38=""),"",IFERROR(IF($G38=0,$F38/$H38,-PMT($G38/12,$H38,$F38)),""))</f>
        <v/>
      </c>
      <c r="L38" s="10">
        <f>IF($K38="","",IFERROR($K38+IF($I38="",0,$I38),""))</f>
        <v/>
      </c>
      <c r="M38" s="10">
        <f>IF($K38="","",IFERROR(MAX(0,$K38*$H38-$F38),""))</f>
        <v/>
      </c>
      <c r="N38" s="10">
        <f>IF($K38="","",IFERROR($K38*$H38,""))</f>
        <v/>
      </c>
      <c r="O38" s="21">
        <f>IF(OR($E38="",$H38=""),"",IFERROR(EDATE($E38,$H38-1),""))</f>
        <v/>
      </c>
      <c r="P38" s="7">
        <f>IF(OR($A38="",$E38="",$H38="",Assumptions!$B$4=""),"",IFERROR(IF(Assumptions!$B$4&lt;$E38,0,MIN($H38,(YEAR(Assumptions!$B$4)-YEAR($E38))*12+MONTH(Assumptions!$B$4)-MONTH($E38)+IF(DAY(Assumptions!$B$4)&gt;=DAY($E38),1,0))),""))</f>
        <v/>
      </c>
      <c r="Q38" s="10">
        <f>IF(OR($A38="",$F38="",$G38="",$H38="",$L38="",$P38=""),"",IF($J38="Paid",0,IFERROR(MAX(0,IF($G38=0,$F38-$L38*$P38,$F38*(1+$G38/12)^$P38-$L38*((1+$G38/12)^$P38-1)/($G38/12))),"")))</f>
        <v/>
      </c>
      <c r="R38" s="22">
        <f>IF($A38="","",IF(OR($D38="",$E38="",$F38="",$G38="",$H38="",$J38=""),"Check missing input",IF($E38&lt;$D38,"Check payment date",IF(COUNTIF($A$5:$A$104,$A38)&gt;1,"Duplicate loan ID",IF($G38&gt;Assumptions!$B$7,"Review APR input",IF(AND($J38="Active",$O38&lt;Assumptions!$B$4,$Q38&gt;Assumptions!$B$5),"Review past maturity",IF($J38="On Hold","Review on-hold loan","")))))))</f>
        <v/>
      </c>
    </row>
    <row r="39">
      <c r="A39" s="13" t="n"/>
      <c r="B39" s="14" t="n"/>
      <c r="C39" s="14" t="n"/>
      <c r="D39" s="15" t="n"/>
      <c r="E39" s="15" t="n"/>
      <c r="F39" s="16" t="n"/>
      <c r="G39" s="17" t="n"/>
      <c r="H39" s="18" t="n"/>
      <c r="I39" s="16" t="n"/>
      <c r="J39" s="13" t="n"/>
      <c r="K39" s="9">
        <f>IF(OR($A39="",$F39="",$G39="",$H39=""),"",IFERROR(IF($G39=0,$F39/$H39,-PMT($G39/12,$H39,$F39)),""))</f>
        <v/>
      </c>
      <c r="L39" s="9">
        <f>IF($K39="","",IFERROR($K39+IF($I39="",0,$I39),""))</f>
        <v/>
      </c>
      <c r="M39" s="9">
        <f>IF($K39="","",IFERROR(MAX(0,$K39*$H39-$F39),""))</f>
        <v/>
      </c>
      <c r="N39" s="9">
        <f>IF($K39="","",IFERROR($K39*$H39,""))</f>
        <v/>
      </c>
      <c r="O39" s="19">
        <f>IF(OR($E39="",$H39=""),"",IFERROR(EDATE($E39,$H39-1),""))</f>
        <v/>
      </c>
      <c r="P39" s="8">
        <f>IF(OR($A39="",$E39="",$H39="",Assumptions!$B$4=""),"",IFERROR(IF(Assumptions!$B$4&lt;$E39,0,MIN($H39,(YEAR(Assumptions!$B$4)-YEAR($E39))*12+MONTH(Assumptions!$B$4)-MONTH($E39)+IF(DAY(Assumptions!$B$4)&gt;=DAY($E39),1,0))),""))</f>
        <v/>
      </c>
      <c r="Q39" s="9">
        <f>IF(OR($A39="",$F39="",$G39="",$H39="",$L39="",$P39=""),"",IF($J39="Paid",0,IFERROR(MAX(0,IF($G39=0,$F39-$L39*$P39,$F39*(1+$G39/12)^$P39-$L39*((1+$G39/12)^$P39-1)/($G39/12))),"")))</f>
        <v/>
      </c>
      <c r="R39" s="20">
        <f>IF($A39="","",IF(OR($D39="",$E39="",$F39="",$G39="",$H39="",$J39=""),"Check missing input",IF($E39&lt;$D39,"Check payment date",IF(COUNTIF($A$5:$A$104,$A39)&gt;1,"Duplicate loan ID",IF($G39&gt;Assumptions!$B$7,"Review APR input",IF(AND($J39="Active",$O39&lt;Assumptions!$B$4,$Q39&gt;Assumptions!$B$5),"Review past maturity",IF($J39="On Hold","Review on-hold loan","")))))))</f>
        <v/>
      </c>
    </row>
    <row r="40">
      <c r="A40" s="13" t="n"/>
      <c r="B40" s="14" t="n"/>
      <c r="C40" s="14" t="n"/>
      <c r="D40" s="15" t="n"/>
      <c r="E40" s="15" t="n"/>
      <c r="F40" s="16" t="n"/>
      <c r="G40" s="17" t="n"/>
      <c r="H40" s="18" t="n"/>
      <c r="I40" s="16" t="n"/>
      <c r="J40" s="13" t="n"/>
      <c r="K40" s="10">
        <f>IF(OR($A40="",$F40="",$G40="",$H40=""),"",IFERROR(IF($G40=0,$F40/$H40,-PMT($G40/12,$H40,$F40)),""))</f>
        <v/>
      </c>
      <c r="L40" s="10">
        <f>IF($K40="","",IFERROR($K40+IF($I40="",0,$I40),""))</f>
        <v/>
      </c>
      <c r="M40" s="10">
        <f>IF($K40="","",IFERROR(MAX(0,$K40*$H40-$F40),""))</f>
        <v/>
      </c>
      <c r="N40" s="10">
        <f>IF($K40="","",IFERROR($K40*$H40,""))</f>
        <v/>
      </c>
      <c r="O40" s="21">
        <f>IF(OR($E40="",$H40=""),"",IFERROR(EDATE($E40,$H40-1),""))</f>
        <v/>
      </c>
      <c r="P40" s="7">
        <f>IF(OR($A40="",$E40="",$H40="",Assumptions!$B$4=""),"",IFERROR(IF(Assumptions!$B$4&lt;$E40,0,MIN($H40,(YEAR(Assumptions!$B$4)-YEAR($E40))*12+MONTH(Assumptions!$B$4)-MONTH($E40)+IF(DAY(Assumptions!$B$4)&gt;=DAY($E40),1,0))),""))</f>
        <v/>
      </c>
      <c r="Q40" s="10">
        <f>IF(OR($A40="",$F40="",$G40="",$H40="",$L40="",$P40=""),"",IF($J40="Paid",0,IFERROR(MAX(0,IF($G40=0,$F40-$L40*$P40,$F40*(1+$G40/12)^$P40-$L40*((1+$G40/12)^$P40-1)/($G40/12))),"")))</f>
        <v/>
      </c>
      <c r="R40" s="22">
        <f>IF($A40="","",IF(OR($D40="",$E40="",$F40="",$G40="",$H40="",$J40=""),"Check missing input",IF($E40&lt;$D40,"Check payment date",IF(COUNTIF($A$5:$A$104,$A40)&gt;1,"Duplicate loan ID",IF($G40&gt;Assumptions!$B$7,"Review APR input",IF(AND($J40="Active",$O40&lt;Assumptions!$B$4,$Q40&gt;Assumptions!$B$5),"Review past maturity",IF($J40="On Hold","Review on-hold loan","")))))))</f>
        <v/>
      </c>
    </row>
    <row r="41">
      <c r="A41" s="13" t="n"/>
      <c r="B41" s="14" t="n"/>
      <c r="C41" s="14" t="n"/>
      <c r="D41" s="15" t="n"/>
      <c r="E41" s="15" t="n"/>
      <c r="F41" s="16" t="n"/>
      <c r="G41" s="17" t="n"/>
      <c r="H41" s="18" t="n"/>
      <c r="I41" s="16" t="n"/>
      <c r="J41" s="13" t="n"/>
      <c r="K41" s="9">
        <f>IF(OR($A41="",$F41="",$G41="",$H41=""),"",IFERROR(IF($G41=0,$F41/$H41,-PMT($G41/12,$H41,$F41)),""))</f>
        <v/>
      </c>
      <c r="L41" s="9">
        <f>IF($K41="","",IFERROR($K41+IF($I41="",0,$I41),""))</f>
        <v/>
      </c>
      <c r="M41" s="9">
        <f>IF($K41="","",IFERROR(MAX(0,$K41*$H41-$F41),""))</f>
        <v/>
      </c>
      <c r="N41" s="9">
        <f>IF($K41="","",IFERROR($K41*$H41,""))</f>
        <v/>
      </c>
      <c r="O41" s="19">
        <f>IF(OR($E41="",$H41=""),"",IFERROR(EDATE($E41,$H41-1),""))</f>
        <v/>
      </c>
      <c r="P41" s="8">
        <f>IF(OR($A41="",$E41="",$H41="",Assumptions!$B$4=""),"",IFERROR(IF(Assumptions!$B$4&lt;$E41,0,MIN($H41,(YEAR(Assumptions!$B$4)-YEAR($E41))*12+MONTH(Assumptions!$B$4)-MONTH($E41)+IF(DAY(Assumptions!$B$4)&gt;=DAY($E41),1,0))),""))</f>
        <v/>
      </c>
      <c r="Q41" s="9">
        <f>IF(OR($A41="",$F41="",$G41="",$H41="",$L41="",$P41=""),"",IF($J41="Paid",0,IFERROR(MAX(0,IF($G41=0,$F41-$L41*$P41,$F41*(1+$G41/12)^$P41-$L41*((1+$G41/12)^$P41-1)/($G41/12))),"")))</f>
        <v/>
      </c>
      <c r="R41" s="20">
        <f>IF($A41="","",IF(OR($D41="",$E41="",$F41="",$G41="",$H41="",$J41=""),"Check missing input",IF($E41&lt;$D41,"Check payment date",IF(COUNTIF($A$5:$A$104,$A41)&gt;1,"Duplicate loan ID",IF($G41&gt;Assumptions!$B$7,"Review APR input",IF(AND($J41="Active",$O41&lt;Assumptions!$B$4,$Q41&gt;Assumptions!$B$5),"Review past maturity",IF($J41="On Hold","Review on-hold loan","")))))))</f>
        <v/>
      </c>
    </row>
    <row r="42">
      <c r="A42" s="13" t="n"/>
      <c r="B42" s="14" t="n"/>
      <c r="C42" s="14" t="n"/>
      <c r="D42" s="15" t="n"/>
      <c r="E42" s="15" t="n"/>
      <c r="F42" s="16" t="n"/>
      <c r="G42" s="17" t="n"/>
      <c r="H42" s="18" t="n"/>
      <c r="I42" s="16" t="n"/>
      <c r="J42" s="13" t="n"/>
      <c r="K42" s="10">
        <f>IF(OR($A42="",$F42="",$G42="",$H42=""),"",IFERROR(IF($G42=0,$F42/$H42,-PMT($G42/12,$H42,$F42)),""))</f>
        <v/>
      </c>
      <c r="L42" s="10">
        <f>IF($K42="","",IFERROR($K42+IF($I42="",0,$I42),""))</f>
        <v/>
      </c>
      <c r="M42" s="10">
        <f>IF($K42="","",IFERROR(MAX(0,$K42*$H42-$F42),""))</f>
        <v/>
      </c>
      <c r="N42" s="10">
        <f>IF($K42="","",IFERROR($K42*$H42,""))</f>
        <v/>
      </c>
      <c r="O42" s="21">
        <f>IF(OR($E42="",$H42=""),"",IFERROR(EDATE($E42,$H42-1),""))</f>
        <v/>
      </c>
      <c r="P42" s="7">
        <f>IF(OR($A42="",$E42="",$H42="",Assumptions!$B$4=""),"",IFERROR(IF(Assumptions!$B$4&lt;$E42,0,MIN($H42,(YEAR(Assumptions!$B$4)-YEAR($E42))*12+MONTH(Assumptions!$B$4)-MONTH($E42)+IF(DAY(Assumptions!$B$4)&gt;=DAY($E42),1,0))),""))</f>
        <v/>
      </c>
      <c r="Q42" s="10">
        <f>IF(OR($A42="",$F42="",$G42="",$H42="",$L42="",$P42=""),"",IF($J42="Paid",0,IFERROR(MAX(0,IF($G42=0,$F42-$L42*$P42,$F42*(1+$G42/12)^$P42-$L42*((1+$G42/12)^$P42-1)/($G42/12))),"")))</f>
        <v/>
      </c>
      <c r="R42" s="22">
        <f>IF($A42="","",IF(OR($D42="",$E42="",$F42="",$G42="",$H42="",$J42=""),"Check missing input",IF($E42&lt;$D42,"Check payment date",IF(COUNTIF($A$5:$A$104,$A42)&gt;1,"Duplicate loan ID",IF($G42&gt;Assumptions!$B$7,"Review APR input",IF(AND($J42="Active",$O42&lt;Assumptions!$B$4,$Q42&gt;Assumptions!$B$5),"Review past maturity",IF($J42="On Hold","Review on-hold loan","")))))))</f>
        <v/>
      </c>
    </row>
    <row r="43">
      <c r="A43" s="13" t="n"/>
      <c r="B43" s="14" t="n"/>
      <c r="C43" s="14" t="n"/>
      <c r="D43" s="15" t="n"/>
      <c r="E43" s="15" t="n"/>
      <c r="F43" s="16" t="n"/>
      <c r="G43" s="17" t="n"/>
      <c r="H43" s="18" t="n"/>
      <c r="I43" s="16" t="n"/>
      <c r="J43" s="13" t="n"/>
      <c r="K43" s="9">
        <f>IF(OR($A43="",$F43="",$G43="",$H43=""),"",IFERROR(IF($G43=0,$F43/$H43,-PMT($G43/12,$H43,$F43)),""))</f>
        <v/>
      </c>
      <c r="L43" s="9">
        <f>IF($K43="","",IFERROR($K43+IF($I43="",0,$I43),""))</f>
        <v/>
      </c>
      <c r="M43" s="9">
        <f>IF($K43="","",IFERROR(MAX(0,$K43*$H43-$F43),""))</f>
        <v/>
      </c>
      <c r="N43" s="9">
        <f>IF($K43="","",IFERROR($K43*$H43,""))</f>
        <v/>
      </c>
      <c r="O43" s="19">
        <f>IF(OR($E43="",$H43=""),"",IFERROR(EDATE($E43,$H43-1),""))</f>
        <v/>
      </c>
      <c r="P43" s="8">
        <f>IF(OR($A43="",$E43="",$H43="",Assumptions!$B$4=""),"",IFERROR(IF(Assumptions!$B$4&lt;$E43,0,MIN($H43,(YEAR(Assumptions!$B$4)-YEAR($E43))*12+MONTH(Assumptions!$B$4)-MONTH($E43)+IF(DAY(Assumptions!$B$4)&gt;=DAY($E43),1,0))),""))</f>
        <v/>
      </c>
      <c r="Q43" s="9">
        <f>IF(OR($A43="",$F43="",$G43="",$H43="",$L43="",$P43=""),"",IF($J43="Paid",0,IFERROR(MAX(0,IF($G43=0,$F43-$L43*$P43,$F43*(1+$G43/12)^$P43-$L43*((1+$G43/12)^$P43-1)/($G43/12))),"")))</f>
        <v/>
      </c>
      <c r="R43" s="20">
        <f>IF($A43="","",IF(OR($D43="",$E43="",$F43="",$G43="",$H43="",$J43=""),"Check missing input",IF($E43&lt;$D43,"Check payment date",IF(COUNTIF($A$5:$A$104,$A43)&gt;1,"Duplicate loan ID",IF($G43&gt;Assumptions!$B$7,"Review APR input",IF(AND($J43="Active",$O43&lt;Assumptions!$B$4,$Q43&gt;Assumptions!$B$5),"Review past maturity",IF($J43="On Hold","Review on-hold loan","")))))))</f>
        <v/>
      </c>
    </row>
    <row r="44">
      <c r="A44" s="13" t="n"/>
      <c r="B44" s="14" t="n"/>
      <c r="C44" s="14" t="n"/>
      <c r="D44" s="15" t="n"/>
      <c r="E44" s="15" t="n"/>
      <c r="F44" s="16" t="n"/>
      <c r="G44" s="17" t="n"/>
      <c r="H44" s="18" t="n"/>
      <c r="I44" s="16" t="n"/>
      <c r="J44" s="13" t="n"/>
      <c r="K44" s="10">
        <f>IF(OR($A44="",$F44="",$G44="",$H44=""),"",IFERROR(IF($G44=0,$F44/$H44,-PMT($G44/12,$H44,$F44)),""))</f>
        <v/>
      </c>
      <c r="L44" s="10">
        <f>IF($K44="","",IFERROR($K44+IF($I44="",0,$I44),""))</f>
        <v/>
      </c>
      <c r="M44" s="10">
        <f>IF($K44="","",IFERROR(MAX(0,$K44*$H44-$F44),""))</f>
        <v/>
      </c>
      <c r="N44" s="10">
        <f>IF($K44="","",IFERROR($K44*$H44,""))</f>
        <v/>
      </c>
      <c r="O44" s="21">
        <f>IF(OR($E44="",$H44=""),"",IFERROR(EDATE($E44,$H44-1),""))</f>
        <v/>
      </c>
      <c r="P44" s="7">
        <f>IF(OR($A44="",$E44="",$H44="",Assumptions!$B$4=""),"",IFERROR(IF(Assumptions!$B$4&lt;$E44,0,MIN($H44,(YEAR(Assumptions!$B$4)-YEAR($E44))*12+MONTH(Assumptions!$B$4)-MONTH($E44)+IF(DAY(Assumptions!$B$4)&gt;=DAY($E44),1,0))),""))</f>
        <v/>
      </c>
      <c r="Q44" s="10">
        <f>IF(OR($A44="",$F44="",$G44="",$H44="",$L44="",$P44=""),"",IF($J44="Paid",0,IFERROR(MAX(0,IF($G44=0,$F44-$L44*$P44,$F44*(1+$G44/12)^$P44-$L44*((1+$G44/12)^$P44-1)/($G44/12))),"")))</f>
        <v/>
      </c>
      <c r="R44" s="22">
        <f>IF($A44="","",IF(OR($D44="",$E44="",$F44="",$G44="",$H44="",$J44=""),"Check missing input",IF($E44&lt;$D44,"Check payment date",IF(COUNTIF($A$5:$A$104,$A44)&gt;1,"Duplicate loan ID",IF($G44&gt;Assumptions!$B$7,"Review APR input",IF(AND($J44="Active",$O44&lt;Assumptions!$B$4,$Q44&gt;Assumptions!$B$5),"Review past maturity",IF($J44="On Hold","Review on-hold loan","")))))))</f>
        <v/>
      </c>
    </row>
    <row r="45">
      <c r="A45" s="13" t="n"/>
      <c r="B45" s="14" t="n"/>
      <c r="C45" s="14" t="n"/>
      <c r="D45" s="15" t="n"/>
      <c r="E45" s="15" t="n"/>
      <c r="F45" s="16" t="n"/>
      <c r="G45" s="17" t="n"/>
      <c r="H45" s="18" t="n"/>
      <c r="I45" s="16" t="n"/>
      <c r="J45" s="13" t="n"/>
      <c r="K45" s="9">
        <f>IF(OR($A45="",$F45="",$G45="",$H45=""),"",IFERROR(IF($G45=0,$F45/$H45,-PMT($G45/12,$H45,$F45)),""))</f>
        <v/>
      </c>
      <c r="L45" s="9">
        <f>IF($K45="","",IFERROR($K45+IF($I45="",0,$I45),""))</f>
        <v/>
      </c>
      <c r="M45" s="9">
        <f>IF($K45="","",IFERROR(MAX(0,$K45*$H45-$F45),""))</f>
        <v/>
      </c>
      <c r="N45" s="9">
        <f>IF($K45="","",IFERROR($K45*$H45,""))</f>
        <v/>
      </c>
      <c r="O45" s="19">
        <f>IF(OR($E45="",$H45=""),"",IFERROR(EDATE($E45,$H45-1),""))</f>
        <v/>
      </c>
      <c r="P45" s="8">
        <f>IF(OR($A45="",$E45="",$H45="",Assumptions!$B$4=""),"",IFERROR(IF(Assumptions!$B$4&lt;$E45,0,MIN($H45,(YEAR(Assumptions!$B$4)-YEAR($E45))*12+MONTH(Assumptions!$B$4)-MONTH($E45)+IF(DAY(Assumptions!$B$4)&gt;=DAY($E45),1,0))),""))</f>
        <v/>
      </c>
      <c r="Q45" s="9">
        <f>IF(OR($A45="",$F45="",$G45="",$H45="",$L45="",$P45=""),"",IF($J45="Paid",0,IFERROR(MAX(0,IF($G45=0,$F45-$L45*$P45,$F45*(1+$G45/12)^$P45-$L45*((1+$G45/12)^$P45-1)/($G45/12))),"")))</f>
        <v/>
      </c>
      <c r="R45" s="20">
        <f>IF($A45="","",IF(OR($D45="",$E45="",$F45="",$G45="",$H45="",$J45=""),"Check missing input",IF($E45&lt;$D45,"Check payment date",IF(COUNTIF($A$5:$A$104,$A45)&gt;1,"Duplicate loan ID",IF($G45&gt;Assumptions!$B$7,"Review APR input",IF(AND($J45="Active",$O45&lt;Assumptions!$B$4,$Q45&gt;Assumptions!$B$5),"Review past maturity",IF($J45="On Hold","Review on-hold loan","")))))))</f>
        <v/>
      </c>
    </row>
    <row r="46">
      <c r="A46" s="13" t="n"/>
      <c r="B46" s="14" t="n"/>
      <c r="C46" s="14" t="n"/>
      <c r="D46" s="15" t="n"/>
      <c r="E46" s="15" t="n"/>
      <c r="F46" s="16" t="n"/>
      <c r="G46" s="17" t="n"/>
      <c r="H46" s="18" t="n"/>
      <c r="I46" s="16" t="n"/>
      <c r="J46" s="13" t="n"/>
      <c r="K46" s="10">
        <f>IF(OR($A46="",$F46="",$G46="",$H46=""),"",IFERROR(IF($G46=0,$F46/$H46,-PMT($G46/12,$H46,$F46)),""))</f>
        <v/>
      </c>
      <c r="L46" s="10">
        <f>IF($K46="","",IFERROR($K46+IF($I46="",0,$I46),""))</f>
        <v/>
      </c>
      <c r="M46" s="10">
        <f>IF($K46="","",IFERROR(MAX(0,$K46*$H46-$F46),""))</f>
        <v/>
      </c>
      <c r="N46" s="10">
        <f>IF($K46="","",IFERROR($K46*$H46,""))</f>
        <v/>
      </c>
      <c r="O46" s="21">
        <f>IF(OR($E46="",$H46=""),"",IFERROR(EDATE($E46,$H46-1),""))</f>
        <v/>
      </c>
      <c r="P46" s="7">
        <f>IF(OR($A46="",$E46="",$H46="",Assumptions!$B$4=""),"",IFERROR(IF(Assumptions!$B$4&lt;$E46,0,MIN($H46,(YEAR(Assumptions!$B$4)-YEAR($E46))*12+MONTH(Assumptions!$B$4)-MONTH($E46)+IF(DAY(Assumptions!$B$4)&gt;=DAY($E46),1,0))),""))</f>
        <v/>
      </c>
      <c r="Q46" s="10">
        <f>IF(OR($A46="",$F46="",$G46="",$H46="",$L46="",$P46=""),"",IF($J46="Paid",0,IFERROR(MAX(0,IF($G46=0,$F46-$L46*$P46,$F46*(1+$G46/12)^$P46-$L46*((1+$G46/12)^$P46-1)/($G46/12))),"")))</f>
        <v/>
      </c>
      <c r="R46" s="22">
        <f>IF($A46="","",IF(OR($D46="",$E46="",$F46="",$G46="",$H46="",$J46=""),"Check missing input",IF($E46&lt;$D46,"Check payment date",IF(COUNTIF($A$5:$A$104,$A46)&gt;1,"Duplicate loan ID",IF($G46&gt;Assumptions!$B$7,"Review APR input",IF(AND($J46="Active",$O46&lt;Assumptions!$B$4,$Q46&gt;Assumptions!$B$5),"Review past maturity",IF($J46="On Hold","Review on-hold loan","")))))))</f>
        <v/>
      </c>
    </row>
    <row r="47">
      <c r="A47" s="13" t="n"/>
      <c r="B47" s="14" t="n"/>
      <c r="C47" s="14" t="n"/>
      <c r="D47" s="15" t="n"/>
      <c r="E47" s="15" t="n"/>
      <c r="F47" s="16" t="n"/>
      <c r="G47" s="17" t="n"/>
      <c r="H47" s="18" t="n"/>
      <c r="I47" s="16" t="n"/>
      <c r="J47" s="13" t="n"/>
      <c r="K47" s="9">
        <f>IF(OR($A47="",$F47="",$G47="",$H47=""),"",IFERROR(IF($G47=0,$F47/$H47,-PMT($G47/12,$H47,$F47)),""))</f>
        <v/>
      </c>
      <c r="L47" s="9">
        <f>IF($K47="","",IFERROR($K47+IF($I47="",0,$I47),""))</f>
        <v/>
      </c>
      <c r="M47" s="9">
        <f>IF($K47="","",IFERROR(MAX(0,$K47*$H47-$F47),""))</f>
        <v/>
      </c>
      <c r="N47" s="9">
        <f>IF($K47="","",IFERROR($K47*$H47,""))</f>
        <v/>
      </c>
      <c r="O47" s="19">
        <f>IF(OR($E47="",$H47=""),"",IFERROR(EDATE($E47,$H47-1),""))</f>
        <v/>
      </c>
      <c r="P47" s="8">
        <f>IF(OR($A47="",$E47="",$H47="",Assumptions!$B$4=""),"",IFERROR(IF(Assumptions!$B$4&lt;$E47,0,MIN($H47,(YEAR(Assumptions!$B$4)-YEAR($E47))*12+MONTH(Assumptions!$B$4)-MONTH($E47)+IF(DAY(Assumptions!$B$4)&gt;=DAY($E47),1,0))),""))</f>
        <v/>
      </c>
      <c r="Q47" s="9">
        <f>IF(OR($A47="",$F47="",$G47="",$H47="",$L47="",$P47=""),"",IF($J47="Paid",0,IFERROR(MAX(0,IF($G47=0,$F47-$L47*$P47,$F47*(1+$G47/12)^$P47-$L47*((1+$G47/12)^$P47-1)/($G47/12))),"")))</f>
        <v/>
      </c>
      <c r="R47" s="20">
        <f>IF($A47="","",IF(OR($D47="",$E47="",$F47="",$G47="",$H47="",$J47=""),"Check missing input",IF($E47&lt;$D47,"Check payment date",IF(COUNTIF($A$5:$A$104,$A47)&gt;1,"Duplicate loan ID",IF($G47&gt;Assumptions!$B$7,"Review APR input",IF(AND($J47="Active",$O47&lt;Assumptions!$B$4,$Q47&gt;Assumptions!$B$5),"Review past maturity",IF($J47="On Hold","Review on-hold loan","")))))))</f>
        <v/>
      </c>
    </row>
    <row r="48">
      <c r="A48" s="13" t="n"/>
      <c r="B48" s="14" t="n"/>
      <c r="C48" s="14" t="n"/>
      <c r="D48" s="15" t="n"/>
      <c r="E48" s="15" t="n"/>
      <c r="F48" s="16" t="n"/>
      <c r="G48" s="17" t="n"/>
      <c r="H48" s="18" t="n"/>
      <c r="I48" s="16" t="n"/>
      <c r="J48" s="13" t="n"/>
      <c r="K48" s="10">
        <f>IF(OR($A48="",$F48="",$G48="",$H48=""),"",IFERROR(IF($G48=0,$F48/$H48,-PMT($G48/12,$H48,$F48)),""))</f>
        <v/>
      </c>
      <c r="L48" s="10">
        <f>IF($K48="","",IFERROR($K48+IF($I48="",0,$I48),""))</f>
        <v/>
      </c>
      <c r="M48" s="10">
        <f>IF($K48="","",IFERROR(MAX(0,$K48*$H48-$F48),""))</f>
        <v/>
      </c>
      <c r="N48" s="10">
        <f>IF($K48="","",IFERROR($K48*$H48,""))</f>
        <v/>
      </c>
      <c r="O48" s="21">
        <f>IF(OR($E48="",$H48=""),"",IFERROR(EDATE($E48,$H48-1),""))</f>
        <v/>
      </c>
      <c r="P48" s="7">
        <f>IF(OR($A48="",$E48="",$H48="",Assumptions!$B$4=""),"",IFERROR(IF(Assumptions!$B$4&lt;$E48,0,MIN($H48,(YEAR(Assumptions!$B$4)-YEAR($E48))*12+MONTH(Assumptions!$B$4)-MONTH($E48)+IF(DAY(Assumptions!$B$4)&gt;=DAY($E48),1,0))),""))</f>
        <v/>
      </c>
      <c r="Q48" s="10">
        <f>IF(OR($A48="",$F48="",$G48="",$H48="",$L48="",$P48=""),"",IF($J48="Paid",0,IFERROR(MAX(0,IF($G48=0,$F48-$L48*$P48,$F48*(1+$G48/12)^$P48-$L48*((1+$G48/12)^$P48-1)/($G48/12))),"")))</f>
        <v/>
      </c>
      <c r="R48" s="22">
        <f>IF($A48="","",IF(OR($D48="",$E48="",$F48="",$G48="",$H48="",$J48=""),"Check missing input",IF($E48&lt;$D48,"Check payment date",IF(COUNTIF($A$5:$A$104,$A48)&gt;1,"Duplicate loan ID",IF($G48&gt;Assumptions!$B$7,"Review APR input",IF(AND($J48="Active",$O48&lt;Assumptions!$B$4,$Q48&gt;Assumptions!$B$5),"Review past maturity",IF($J48="On Hold","Review on-hold loan","")))))))</f>
        <v/>
      </c>
    </row>
    <row r="49">
      <c r="A49" s="13" t="n"/>
      <c r="B49" s="14" t="n"/>
      <c r="C49" s="14" t="n"/>
      <c r="D49" s="15" t="n"/>
      <c r="E49" s="15" t="n"/>
      <c r="F49" s="16" t="n"/>
      <c r="G49" s="17" t="n"/>
      <c r="H49" s="18" t="n"/>
      <c r="I49" s="16" t="n"/>
      <c r="J49" s="13" t="n"/>
      <c r="K49" s="9">
        <f>IF(OR($A49="",$F49="",$G49="",$H49=""),"",IFERROR(IF($G49=0,$F49/$H49,-PMT($G49/12,$H49,$F49)),""))</f>
        <v/>
      </c>
      <c r="L49" s="9">
        <f>IF($K49="","",IFERROR($K49+IF($I49="",0,$I49),""))</f>
        <v/>
      </c>
      <c r="M49" s="9">
        <f>IF($K49="","",IFERROR(MAX(0,$K49*$H49-$F49),""))</f>
        <v/>
      </c>
      <c r="N49" s="9">
        <f>IF($K49="","",IFERROR($K49*$H49,""))</f>
        <v/>
      </c>
      <c r="O49" s="19">
        <f>IF(OR($E49="",$H49=""),"",IFERROR(EDATE($E49,$H49-1),""))</f>
        <v/>
      </c>
      <c r="P49" s="8">
        <f>IF(OR($A49="",$E49="",$H49="",Assumptions!$B$4=""),"",IFERROR(IF(Assumptions!$B$4&lt;$E49,0,MIN($H49,(YEAR(Assumptions!$B$4)-YEAR($E49))*12+MONTH(Assumptions!$B$4)-MONTH($E49)+IF(DAY(Assumptions!$B$4)&gt;=DAY($E49),1,0))),""))</f>
        <v/>
      </c>
      <c r="Q49" s="9">
        <f>IF(OR($A49="",$F49="",$G49="",$H49="",$L49="",$P49=""),"",IF($J49="Paid",0,IFERROR(MAX(0,IF($G49=0,$F49-$L49*$P49,$F49*(1+$G49/12)^$P49-$L49*((1+$G49/12)^$P49-1)/($G49/12))),"")))</f>
        <v/>
      </c>
      <c r="R49" s="20">
        <f>IF($A49="","",IF(OR($D49="",$E49="",$F49="",$G49="",$H49="",$J49=""),"Check missing input",IF($E49&lt;$D49,"Check payment date",IF(COUNTIF($A$5:$A$104,$A49)&gt;1,"Duplicate loan ID",IF($G49&gt;Assumptions!$B$7,"Review APR input",IF(AND($J49="Active",$O49&lt;Assumptions!$B$4,$Q49&gt;Assumptions!$B$5),"Review past maturity",IF($J49="On Hold","Review on-hold loan","")))))))</f>
        <v/>
      </c>
    </row>
    <row r="50">
      <c r="A50" s="13" t="n"/>
      <c r="B50" s="14" t="n"/>
      <c r="C50" s="14" t="n"/>
      <c r="D50" s="15" t="n"/>
      <c r="E50" s="15" t="n"/>
      <c r="F50" s="16" t="n"/>
      <c r="G50" s="17" t="n"/>
      <c r="H50" s="18" t="n"/>
      <c r="I50" s="16" t="n"/>
      <c r="J50" s="13" t="n"/>
      <c r="K50" s="10">
        <f>IF(OR($A50="",$F50="",$G50="",$H50=""),"",IFERROR(IF($G50=0,$F50/$H50,-PMT($G50/12,$H50,$F50)),""))</f>
        <v/>
      </c>
      <c r="L50" s="10">
        <f>IF($K50="","",IFERROR($K50+IF($I50="",0,$I50),""))</f>
        <v/>
      </c>
      <c r="M50" s="10">
        <f>IF($K50="","",IFERROR(MAX(0,$K50*$H50-$F50),""))</f>
        <v/>
      </c>
      <c r="N50" s="10">
        <f>IF($K50="","",IFERROR($K50*$H50,""))</f>
        <v/>
      </c>
      <c r="O50" s="21">
        <f>IF(OR($E50="",$H50=""),"",IFERROR(EDATE($E50,$H50-1),""))</f>
        <v/>
      </c>
      <c r="P50" s="7">
        <f>IF(OR($A50="",$E50="",$H50="",Assumptions!$B$4=""),"",IFERROR(IF(Assumptions!$B$4&lt;$E50,0,MIN($H50,(YEAR(Assumptions!$B$4)-YEAR($E50))*12+MONTH(Assumptions!$B$4)-MONTH($E50)+IF(DAY(Assumptions!$B$4)&gt;=DAY($E50),1,0))),""))</f>
        <v/>
      </c>
      <c r="Q50" s="10">
        <f>IF(OR($A50="",$F50="",$G50="",$H50="",$L50="",$P50=""),"",IF($J50="Paid",0,IFERROR(MAX(0,IF($G50=0,$F50-$L50*$P50,$F50*(1+$G50/12)^$P50-$L50*((1+$G50/12)^$P50-1)/($G50/12))),"")))</f>
        <v/>
      </c>
      <c r="R50" s="22">
        <f>IF($A50="","",IF(OR($D50="",$E50="",$F50="",$G50="",$H50="",$J50=""),"Check missing input",IF($E50&lt;$D50,"Check payment date",IF(COUNTIF($A$5:$A$104,$A50)&gt;1,"Duplicate loan ID",IF($G50&gt;Assumptions!$B$7,"Review APR input",IF(AND($J50="Active",$O50&lt;Assumptions!$B$4,$Q50&gt;Assumptions!$B$5),"Review past maturity",IF($J50="On Hold","Review on-hold loan","")))))))</f>
        <v/>
      </c>
    </row>
    <row r="51">
      <c r="A51" s="13" t="n"/>
      <c r="B51" s="14" t="n"/>
      <c r="C51" s="14" t="n"/>
      <c r="D51" s="15" t="n"/>
      <c r="E51" s="15" t="n"/>
      <c r="F51" s="16" t="n"/>
      <c r="G51" s="17" t="n"/>
      <c r="H51" s="18" t="n"/>
      <c r="I51" s="16" t="n"/>
      <c r="J51" s="13" t="n"/>
      <c r="K51" s="9">
        <f>IF(OR($A51="",$F51="",$G51="",$H51=""),"",IFERROR(IF($G51=0,$F51/$H51,-PMT($G51/12,$H51,$F51)),""))</f>
        <v/>
      </c>
      <c r="L51" s="9">
        <f>IF($K51="","",IFERROR($K51+IF($I51="",0,$I51),""))</f>
        <v/>
      </c>
      <c r="M51" s="9">
        <f>IF($K51="","",IFERROR(MAX(0,$K51*$H51-$F51),""))</f>
        <v/>
      </c>
      <c r="N51" s="9">
        <f>IF($K51="","",IFERROR($K51*$H51,""))</f>
        <v/>
      </c>
      <c r="O51" s="19">
        <f>IF(OR($E51="",$H51=""),"",IFERROR(EDATE($E51,$H51-1),""))</f>
        <v/>
      </c>
      <c r="P51" s="8">
        <f>IF(OR($A51="",$E51="",$H51="",Assumptions!$B$4=""),"",IFERROR(IF(Assumptions!$B$4&lt;$E51,0,MIN($H51,(YEAR(Assumptions!$B$4)-YEAR($E51))*12+MONTH(Assumptions!$B$4)-MONTH($E51)+IF(DAY(Assumptions!$B$4)&gt;=DAY($E51),1,0))),""))</f>
        <v/>
      </c>
      <c r="Q51" s="9">
        <f>IF(OR($A51="",$F51="",$G51="",$H51="",$L51="",$P51=""),"",IF($J51="Paid",0,IFERROR(MAX(0,IF($G51=0,$F51-$L51*$P51,$F51*(1+$G51/12)^$P51-$L51*((1+$G51/12)^$P51-1)/($G51/12))),"")))</f>
        <v/>
      </c>
      <c r="R51" s="20">
        <f>IF($A51="","",IF(OR($D51="",$E51="",$F51="",$G51="",$H51="",$J51=""),"Check missing input",IF($E51&lt;$D51,"Check payment date",IF(COUNTIF($A$5:$A$104,$A51)&gt;1,"Duplicate loan ID",IF($G51&gt;Assumptions!$B$7,"Review APR input",IF(AND($J51="Active",$O51&lt;Assumptions!$B$4,$Q51&gt;Assumptions!$B$5),"Review past maturity",IF($J51="On Hold","Review on-hold loan","")))))))</f>
        <v/>
      </c>
    </row>
    <row r="52">
      <c r="A52" s="13" t="n"/>
      <c r="B52" s="14" t="n"/>
      <c r="C52" s="14" t="n"/>
      <c r="D52" s="15" t="n"/>
      <c r="E52" s="15" t="n"/>
      <c r="F52" s="16" t="n"/>
      <c r="G52" s="17" t="n"/>
      <c r="H52" s="18" t="n"/>
      <c r="I52" s="16" t="n"/>
      <c r="J52" s="13" t="n"/>
      <c r="K52" s="10">
        <f>IF(OR($A52="",$F52="",$G52="",$H52=""),"",IFERROR(IF($G52=0,$F52/$H52,-PMT($G52/12,$H52,$F52)),""))</f>
        <v/>
      </c>
      <c r="L52" s="10">
        <f>IF($K52="","",IFERROR($K52+IF($I52="",0,$I52),""))</f>
        <v/>
      </c>
      <c r="M52" s="10">
        <f>IF($K52="","",IFERROR(MAX(0,$K52*$H52-$F52),""))</f>
        <v/>
      </c>
      <c r="N52" s="10">
        <f>IF($K52="","",IFERROR($K52*$H52,""))</f>
        <v/>
      </c>
      <c r="O52" s="21">
        <f>IF(OR($E52="",$H52=""),"",IFERROR(EDATE($E52,$H52-1),""))</f>
        <v/>
      </c>
      <c r="P52" s="7">
        <f>IF(OR($A52="",$E52="",$H52="",Assumptions!$B$4=""),"",IFERROR(IF(Assumptions!$B$4&lt;$E52,0,MIN($H52,(YEAR(Assumptions!$B$4)-YEAR($E52))*12+MONTH(Assumptions!$B$4)-MONTH($E52)+IF(DAY(Assumptions!$B$4)&gt;=DAY($E52),1,0))),""))</f>
        <v/>
      </c>
      <c r="Q52" s="10">
        <f>IF(OR($A52="",$F52="",$G52="",$H52="",$L52="",$P52=""),"",IF($J52="Paid",0,IFERROR(MAX(0,IF($G52=0,$F52-$L52*$P52,$F52*(1+$G52/12)^$P52-$L52*((1+$G52/12)^$P52-1)/($G52/12))),"")))</f>
        <v/>
      </c>
      <c r="R52" s="22">
        <f>IF($A52="","",IF(OR($D52="",$E52="",$F52="",$G52="",$H52="",$J52=""),"Check missing input",IF($E52&lt;$D52,"Check payment date",IF(COUNTIF($A$5:$A$104,$A52)&gt;1,"Duplicate loan ID",IF($G52&gt;Assumptions!$B$7,"Review APR input",IF(AND($J52="Active",$O52&lt;Assumptions!$B$4,$Q52&gt;Assumptions!$B$5),"Review past maturity",IF($J52="On Hold","Review on-hold loan","")))))))</f>
        <v/>
      </c>
    </row>
    <row r="53">
      <c r="A53" s="13" t="n"/>
      <c r="B53" s="14" t="n"/>
      <c r="C53" s="14" t="n"/>
      <c r="D53" s="15" t="n"/>
      <c r="E53" s="15" t="n"/>
      <c r="F53" s="16" t="n"/>
      <c r="G53" s="17" t="n"/>
      <c r="H53" s="18" t="n"/>
      <c r="I53" s="16" t="n"/>
      <c r="J53" s="13" t="n"/>
      <c r="K53" s="9">
        <f>IF(OR($A53="",$F53="",$G53="",$H53=""),"",IFERROR(IF($G53=0,$F53/$H53,-PMT($G53/12,$H53,$F53)),""))</f>
        <v/>
      </c>
      <c r="L53" s="9">
        <f>IF($K53="","",IFERROR($K53+IF($I53="",0,$I53),""))</f>
        <v/>
      </c>
      <c r="M53" s="9">
        <f>IF($K53="","",IFERROR(MAX(0,$K53*$H53-$F53),""))</f>
        <v/>
      </c>
      <c r="N53" s="9">
        <f>IF($K53="","",IFERROR($K53*$H53,""))</f>
        <v/>
      </c>
      <c r="O53" s="19">
        <f>IF(OR($E53="",$H53=""),"",IFERROR(EDATE($E53,$H53-1),""))</f>
        <v/>
      </c>
      <c r="P53" s="8">
        <f>IF(OR($A53="",$E53="",$H53="",Assumptions!$B$4=""),"",IFERROR(IF(Assumptions!$B$4&lt;$E53,0,MIN($H53,(YEAR(Assumptions!$B$4)-YEAR($E53))*12+MONTH(Assumptions!$B$4)-MONTH($E53)+IF(DAY(Assumptions!$B$4)&gt;=DAY($E53),1,0))),""))</f>
        <v/>
      </c>
      <c r="Q53" s="9">
        <f>IF(OR($A53="",$F53="",$G53="",$H53="",$L53="",$P53=""),"",IF($J53="Paid",0,IFERROR(MAX(0,IF($G53=0,$F53-$L53*$P53,$F53*(1+$G53/12)^$P53-$L53*((1+$G53/12)^$P53-1)/($G53/12))),"")))</f>
        <v/>
      </c>
      <c r="R53" s="20">
        <f>IF($A53="","",IF(OR($D53="",$E53="",$F53="",$G53="",$H53="",$J53=""),"Check missing input",IF($E53&lt;$D53,"Check payment date",IF(COUNTIF($A$5:$A$104,$A53)&gt;1,"Duplicate loan ID",IF($G53&gt;Assumptions!$B$7,"Review APR input",IF(AND($J53="Active",$O53&lt;Assumptions!$B$4,$Q53&gt;Assumptions!$B$5),"Review past maturity",IF($J53="On Hold","Review on-hold loan","")))))))</f>
        <v/>
      </c>
    </row>
    <row r="54">
      <c r="A54" s="13" t="n"/>
      <c r="B54" s="14" t="n"/>
      <c r="C54" s="14" t="n"/>
      <c r="D54" s="15" t="n"/>
      <c r="E54" s="15" t="n"/>
      <c r="F54" s="16" t="n"/>
      <c r="G54" s="17" t="n"/>
      <c r="H54" s="18" t="n"/>
      <c r="I54" s="16" t="n"/>
      <c r="J54" s="13" t="n"/>
      <c r="K54" s="10">
        <f>IF(OR($A54="",$F54="",$G54="",$H54=""),"",IFERROR(IF($G54=0,$F54/$H54,-PMT($G54/12,$H54,$F54)),""))</f>
        <v/>
      </c>
      <c r="L54" s="10">
        <f>IF($K54="","",IFERROR($K54+IF($I54="",0,$I54),""))</f>
        <v/>
      </c>
      <c r="M54" s="10">
        <f>IF($K54="","",IFERROR(MAX(0,$K54*$H54-$F54),""))</f>
        <v/>
      </c>
      <c r="N54" s="10">
        <f>IF($K54="","",IFERROR($K54*$H54,""))</f>
        <v/>
      </c>
      <c r="O54" s="21">
        <f>IF(OR($E54="",$H54=""),"",IFERROR(EDATE($E54,$H54-1),""))</f>
        <v/>
      </c>
      <c r="P54" s="7">
        <f>IF(OR($A54="",$E54="",$H54="",Assumptions!$B$4=""),"",IFERROR(IF(Assumptions!$B$4&lt;$E54,0,MIN($H54,(YEAR(Assumptions!$B$4)-YEAR($E54))*12+MONTH(Assumptions!$B$4)-MONTH($E54)+IF(DAY(Assumptions!$B$4)&gt;=DAY($E54),1,0))),""))</f>
        <v/>
      </c>
      <c r="Q54" s="10">
        <f>IF(OR($A54="",$F54="",$G54="",$H54="",$L54="",$P54=""),"",IF($J54="Paid",0,IFERROR(MAX(0,IF($G54=0,$F54-$L54*$P54,$F54*(1+$G54/12)^$P54-$L54*((1+$G54/12)^$P54-1)/($G54/12))),"")))</f>
        <v/>
      </c>
      <c r="R54" s="22">
        <f>IF($A54="","",IF(OR($D54="",$E54="",$F54="",$G54="",$H54="",$J54=""),"Check missing input",IF($E54&lt;$D54,"Check payment date",IF(COUNTIF($A$5:$A$104,$A54)&gt;1,"Duplicate loan ID",IF($G54&gt;Assumptions!$B$7,"Review APR input",IF(AND($J54="Active",$O54&lt;Assumptions!$B$4,$Q54&gt;Assumptions!$B$5),"Review past maturity",IF($J54="On Hold","Review on-hold loan","")))))))</f>
        <v/>
      </c>
    </row>
    <row r="55">
      <c r="A55" s="13" t="n"/>
      <c r="B55" s="14" t="n"/>
      <c r="C55" s="14" t="n"/>
      <c r="D55" s="15" t="n"/>
      <c r="E55" s="15" t="n"/>
      <c r="F55" s="16" t="n"/>
      <c r="G55" s="17" t="n"/>
      <c r="H55" s="18" t="n"/>
      <c r="I55" s="16" t="n"/>
      <c r="J55" s="13" t="n"/>
      <c r="K55" s="9">
        <f>IF(OR($A55="",$F55="",$G55="",$H55=""),"",IFERROR(IF($G55=0,$F55/$H55,-PMT($G55/12,$H55,$F55)),""))</f>
        <v/>
      </c>
      <c r="L55" s="9">
        <f>IF($K55="","",IFERROR($K55+IF($I55="",0,$I55),""))</f>
        <v/>
      </c>
      <c r="M55" s="9">
        <f>IF($K55="","",IFERROR(MAX(0,$K55*$H55-$F55),""))</f>
        <v/>
      </c>
      <c r="N55" s="9">
        <f>IF($K55="","",IFERROR($K55*$H55,""))</f>
        <v/>
      </c>
      <c r="O55" s="19">
        <f>IF(OR($E55="",$H55=""),"",IFERROR(EDATE($E55,$H55-1),""))</f>
        <v/>
      </c>
      <c r="P55" s="8">
        <f>IF(OR($A55="",$E55="",$H55="",Assumptions!$B$4=""),"",IFERROR(IF(Assumptions!$B$4&lt;$E55,0,MIN($H55,(YEAR(Assumptions!$B$4)-YEAR($E55))*12+MONTH(Assumptions!$B$4)-MONTH($E55)+IF(DAY(Assumptions!$B$4)&gt;=DAY($E55),1,0))),""))</f>
        <v/>
      </c>
      <c r="Q55" s="9">
        <f>IF(OR($A55="",$F55="",$G55="",$H55="",$L55="",$P55=""),"",IF($J55="Paid",0,IFERROR(MAX(0,IF($G55=0,$F55-$L55*$P55,$F55*(1+$G55/12)^$P55-$L55*((1+$G55/12)^$P55-1)/($G55/12))),"")))</f>
        <v/>
      </c>
      <c r="R55" s="20">
        <f>IF($A55="","",IF(OR($D55="",$E55="",$F55="",$G55="",$H55="",$J55=""),"Check missing input",IF($E55&lt;$D55,"Check payment date",IF(COUNTIF($A$5:$A$104,$A55)&gt;1,"Duplicate loan ID",IF($G55&gt;Assumptions!$B$7,"Review APR input",IF(AND($J55="Active",$O55&lt;Assumptions!$B$4,$Q55&gt;Assumptions!$B$5),"Review past maturity",IF($J55="On Hold","Review on-hold loan","")))))))</f>
        <v/>
      </c>
    </row>
    <row r="56">
      <c r="A56" s="13" t="n"/>
      <c r="B56" s="14" t="n"/>
      <c r="C56" s="14" t="n"/>
      <c r="D56" s="15" t="n"/>
      <c r="E56" s="15" t="n"/>
      <c r="F56" s="16" t="n"/>
      <c r="G56" s="17" t="n"/>
      <c r="H56" s="18" t="n"/>
      <c r="I56" s="16" t="n"/>
      <c r="J56" s="13" t="n"/>
      <c r="K56" s="10">
        <f>IF(OR($A56="",$F56="",$G56="",$H56=""),"",IFERROR(IF($G56=0,$F56/$H56,-PMT($G56/12,$H56,$F56)),""))</f>
        <v/>
      </c>
      <c r="L56" s="10">
        <f>IF($K56="","",IFERROR($K56+IF($I56="",0,$I56),""))</f>
        <v/>
      </c>
      <c r="M56" s="10">
        <f>IF($K56="","",IFERROR(MAX(0,$K56*$H56-$F56),""))</f>
        <v/>
      </c>
      <c r="N56" s="10">
        <f>IF($K56="","",IFERROR($K56*$H56,""))</f>
        <v/>
      </c>
      <c r="O56" s="21">
        <f>IF(OR($E56="",$H56=""),"",IFERROR(EDATE($E56,$H56-1),""))</f>
        <v/>
      </c>
      <c r="P56" s="7">
        <f>IF(OR($A56="",$E56="",$H56="",Assumptions!$B$4=""),"",IFERROR(IF(Assumptions!$B$4&lt;$E56,0,MIN($H56,(YEAR(Assumptions!$B$4)-YEAR($E56))*12+MONTH(Assumptions!$B$4)-MONTH($E56)+IF(DAY(Assumptions!$B$4)&gt;=DAY($E56),1,0))),""))</f>
        <v/>
      </c>
      <c r="Q56" s="10">
        <f>IF(OR($A56="",$F56="",$G56="",$H56="",$L56="",$P56=""),"",IF($J56="Paid",0,IFERROR(MAX(0,IF($G56=0,$F56-$L56*$P56,$F56*(1+$G56/12)^$P56-$L56*((1+$G56/12)^$P56-1)/($G56/12))),"")))</f>
        <v/>
      </c>
      <c r="R56" s="22">
        <f>IF($A56="","",IF(OR($D56="",$E56="",$F56="",$G56="",$H56="",$J56=""),"Check missing input",IF($E56&lt;$D56,"Check payment date",IF(COUNTIF($A$5:$A$104,$A56)&gt;1,"Duplicate loan ID",IF($G56&gt;Assumptions!$B$7,"Review APR input",IF(AND($J56="Active",$O56&lt;Assumptions!$B$4,$Q56&gt;Assumptions!$B$5),"Review past maturity",IF($J56="On Hold","Review on-hold loan","")))))))</f>
        <v/>
      </c>
    </row>
    <row r="57">
      <c r="A57" s="13" t="n"/>
      <c r="B57" s="14" t="n"/>
      <c r="C57" s="14" t="n"/>
      <c r="D57" s="15" t="n"/>
      <c r="E57" s="15" t="n"/>
      <c r="F57" s="16" t="n"/>
      <c r="G57" s="17" t="n"/>
      <c r="H57" s="18" t="n"/>
      <c r="I57" s="16" t="n"/>
      <c r="J57" s="13" t="n"/>
      <c r="K57" s="9">
        <f>IF(OR($A57="",$F57="",$G57="",$H57=""),"",IFERROR(IF($G57=0,$F57/$H57,-PMT($G57/12,$H57,$F57)),""))</f>
        <v/>
      </c>
      <c r="L57" s="9">
        <f>IF($K57="","",IFERROR($K57+IF($I57="",0,$I57),""))</f>
        <v/>
      </c>
      <c r="M57" s="9">
        <f>IF($K57="","",IFERROR(MAX(0,$K57*$H57-$F57),""))</f>
        <v/>
      </c>
      <c r="N57" s="9">
        <f>IF($K57="","",IFERROR($K57*$H57,""))</f>
        <v/>
      </c>
      <c r="O57" s="19">
        <f>IF(OR($E57="",$H57=""),"",IFERROR(EDATE($E57,$H57-1),""))</f>
        <v/>
      </c>
      <c r="P57" s="8">
        <f>IF(OR($A57="",$E57="",$H57="",Assumptions!$B$4=""),"",IFERROR(IF(Assumptions!$B$4&lt;$E57,0,MIN($H57,(YEAR(Assumptions!$B$4)-YEAR($E57))*12+MONTH(Assumptions!$B$4)-MONTH($E57)+IF(DAY(Assumptions!$B$4)&gt;=DAY($E57),1,0))),""))</f>
        <v/>
      </c>
      <c r="Q57" s="9">
        <f>IF(OR($A57="",$F57="",$G57="",$H57="",$L57="",$P57=""),"",IF($J57="Paid",0,IFERROR(MAX(0,IF($G57=0,$F57-$L57*$P57,$F57*(1+$G57/12)^$P57-$L57*((1+$G57/12)^$P57-1)/($G57/12))),"")))</f>
        <v/>
      </c>
      <c r="R57" s="20">
        <f>IF($A57="","",IF(OR($D57="",$E57="",$F57="",$G57="",$H57="",$J57=""),"Check missing input",IF($E57&lt;$D57,"Check payment date",IF(COUNTIF($A$5:$A$104,$A57)&gt;1,"Duplicate loan ID",IF($G57&gt;Assumptions!$B$7,"Review APR input",IF(AND($J57="Active",$O57&lt;Assumptions!$B$4,$Q57&gt;Assumptions!$B$5),"Review past maturity",IF($J57="On Hold","Review on-hold loan","")))))))</f>
        <v/>
      </c>
    </row>
    <row r="58">
      <c r="A58" s="13" t="n"/>
      <c r="B58" s="14" t="n"/>
      <c r="C58" s="14" t="n"/>
      <c r="D58" s="15" t="n"/>
      <c r="E58" s="15" t="n"/>
      <c r="F58" s="16" t="n"/>
      <c r="G58" s="17" t="n"/>
      <c r="H58" s="18" t="n"/>
      <c r="I58" s="16" t="n"/>
      <c r="J58" s="13" t="n"/>
      <c r="K58" s="10">
        <f>IF(OR($A58="",$F58="",$G58="",$H58=""),"",IFERROR(IF($G58=0,$F58/$H58,-PMT($G58/12,$H58,$F58)),""))</f>
        <v/>
      </c>
      <c r="L58" s="10">
        <f>IF($K58="","",IFERROR($K58+IF($I58="",0,$I58),""))</f>
        <v/>
      </c>
      <c r="M58" s="10">
        <f>IF($K58="","",IFERROR(MAX(0,$K58*$H58-$F58),""))</f>
        <v/>
      </c>
      <c r="N58" s="10">
        <f>IF($K58="","",IFERROR($K58*$H58,""))</f>
        <v/>
      </c>
      <c r="O58" s="21">
        <f>IF(OR($E58="",$H58=""),"",IFERROR(EDATE($E58,$H58-1),""))</f>
        <v/>
      </c>
      <c r="P58" s="7">
        <f>IF(OR($A58="",$E58="",$H58="",Assumptions!$B$4=""),"",IFERROR(IF(Assumptions!$B$4&lt;$E58,0,MIN($H58,(YEAR(Assumptions!$B$4)-YEAR($E58))*12+MONTH(Assumptions!$B$4)-MONTH($E58)+IF(DAY(Assumptions!$B$4)&gt;=DAY($E58),1,0))),""))</f>
        <v/>
      </c>
      <c r="Q58" s="10">
        <f>IF(OR($A58="",$F58="",$G58="",$H58="",$L58="",$P58=""),"",IF($J58="Paid",0,IFERROR(MAX(0,IF($G58=0,$F58-$L58*$P58,$F58*(1+$G58/12)^$P58-$L58*((1+$G58/12)^$P58-1)/($G58/12))),"")))</f>
        <v/>
      </c>
      <c r="R58" s="22">
        <f>IF($A58="","",IF(OR($D58="",$E58="",$F58="",$G58="",$H58="",$J58=""),"Check missing input",IF($E58&lt;$D58,"Check payment date",IF(COUNTIF($A$5:$A$104,$A58)&gt;1,"Duplicate loan ID",IF($G58&gt;Assumptions!$B$7,"Review APR input",IF(AND($J58="Active",$O58&lt;Assumptions!$B$4,$Q58&gt;Assumptions!$B$5),"Review past maturity",IF($J58="On Hold","Review on-hold loan","")))))))</f>
        <v/>
      </c>
    </row>
    <row r="59">
      <c r="A59" s="13" t="n"/>
      <c r="B59" s="14" t="n"/>
      <c r="C59" s="14" t="n"/>
      <c r="D59" s="15" t="n"/>
      <c r="E59" s="15" t="n"/>
      <c r="F59" s="16" t="n"/>
      <c r="G59" s="17" t="n"/>
      <c r="H59" s="18" t="n"/>
      <c r="I59" s="16" t="n"/>
      <c r="J59" s="13" t="n"/>
      <c r="K59" s="9">
        <f>IF(OR($A59="",$F59="",$G59="",$H59=""),"",IFERROR(IF($G59=0,$F59/$H59,-PMT($G59/12,$H59,$F59)),""))</f>
        <v/>
      </c>
      <c r="L59" s="9">
        <f>IF($K59="","",IFERROR($K59+IF($I59="",0,$I59),""))</f>
        <v/>
      </c>
      <c r="M59" s="9">
        <f>IF($K59="","",IFERROR(MAX(0,$K59*$H59-$F59),""))</f>
        <v/>
      </c>
      <c r="N59" s="9">
        <f>IF($K59="","",IFERROR($K59*$H59,""))</f>
        <v/>
      </c>
      <c r="O59" s="19">
        <f>IF(OR($E59="",$H59=""),"",IFERROR(EDATE($E59,$H59-1),""))</f>
        <v/>
      </c>
      <c r="P59" s="8">
        <f>IF(OR($A59="",$E59="",$H59="",Assumptions!$B$4=""),"",IFERROR(IF(Assumptions!$B$4&lt;$E59,0,MIN($H59,(YEAR(Assumptions!$B$4)-YEAR($E59))*12+MONTH(Assumptions!$B$4)-MONTH($E59)+IF(DAY(Assumptions!$B$4)&gt;=DAY($E59),1,0))),""))</f>
        <v/>
      </c>
      <c r="Q59" s="9">
        <f>IF(OR($A59="",$F59="",$G59="",$H59="",$L59="",$P59=""),"",IF($J59="Paid",0,IFERROR(MAX(0,IF($G59=0,$F59-$L59*$P59,$F59*(1+$G59/12)^$P59-$L59*((1+$G59/12)^$P59-1)/($G59/12))),"")))</f>
        <v/>
      </c>
      <c r="R59" s="20">
        <f>IF($A59="","",IF(OR($D59="",$E59="",$F59="",$G59="",$H59="",$J59=""),"Check missing input",IF($E59&lt;$D59,"Check payment date",IF(COUNTIF($A$5:$A$104,$A59)&gt;1,"Duplicate loan ID",IF($G59&gt;Assumptions!$B$7,"Review APR input",IF(AND($J59="Active",$O59&lt;Assumptions!$B$4,$Q59&gt;Assumptions!$B$5),"Review past maturity",IF($J59="On Hold","Review on-hold loan","")))))))</f>
        <v/>
      </c>
    </row>
    <row r="60">
      <c r="A60" s="13" t="n"/>
      <c r="B60" s="14" t="n"/>
      <c r="C60" s="14" t="n"/>
      <c r="D60" s="15" t="n"/>
      <c r="E60" s="15" t="n"/>
      <c r="F60" s="16" t="n"/>
      <c r="G60" s="17" t="n"/>
      <c r="H60" s="18" t="n"/>
      <c r="I60" s="16" t="n"/>
      <c r="J60" s="13" t="n"/>
      <c r="K60" s="10">
        <f>IF(OR($A60="",$F60="",$G60="",$H60=""),"",IFERROR(IF($G60=0,$F60/$H60,-PMT($G60/12,$H60,$F60)),""))</f>
        <v/>
      </c>
      <c r="L60" s="10">
        <f>IF($K60="","",IFERROR($K60+IF($I60="",0,$I60),""))</f>
        <v/>
      </c>
      <c r="M60" s="10">
        <f>IF($K60="","",IFERROR(MAX(0,$K60*$H60-$F60),""))</f>
        <v/>
      </c>
      <c r="N60" s="10">
        <f>IF($K60="","",IFERROR($K60*$H60,""))</f>
        <v/>
      </c>
      <c r="O60" s="21">
        <f>IF(OR($E60="",$H60=""),"",IFERROR(EDATE($E60,$H60-1),""))</f>
        <v/>
      </c>
      <c r="P60" s="7">
        <f>IF(OR($A60="",$E60="",$H60="",Assumptions!$B$4=""),"",IFERROR(IF(Assumptions!$B$4&lt;$E60,0,MIN($H60,(YEAR(Assumptions!$B$4)-YEAR($E60))*12+MONTH(Assumptions!$B$4)-MONTH($E60)+IF(DAY(Assumptions!$B$4)&gt;=DAY($E60),1,0))),""))</f>
        <v/>
      </c>
      <c r="Q60" s="10">
        <f>IF(OR($A60="",$F60="",$G60="",$H60="",$L60="",$P60=""),"",IF($J60="Paid",0,IFERROR(MAX(0,IF($G60=0,$F60-$L60*$P60,$F60*(1+$G60/12)^$P60-$L60*((1+$G60/12)^$P60-1)/($G60/12))),"")))</f>
        <v/>
      </c>
      <c r="R60" s="22">
        <f>IF($A60="","",IF(OR($D60="",$E60="",$F60="",$G60="",$H60="",$J60=""),"Check missing input",IF($E60&lt;$D60,"Check payment date",IF(COUNTIF($A$5:$A$104,$A60)&gt;1,"Duplicate loan ID",IF($G60&gt;Assumptions!$B$7,"Review APR input",IF(AND($J60="Active",$O60&lt;Assumptions!$B$4,$Q60&gt;Assumptions!$B$5),"Review past maturity",IF($J60="On Hold","Review on-hold loan","")))))))</f>
        <v/>
      </c>
    </row>
    <row r="61">
      <c r="A61" s="13" t="n"/>
      <c r="B61" s="14" t="n"/>
      <c r="C61" s="14" t="n"/>
      <c r="D61" s="15" t="n"/>
      <c r="E61" s="15" t="n"/>
      <c r="F61" s="16" t="n"/>
      <c r="G61" s="17" t="n"/>
      <c r="H61" s="18" t="n"/>
      <c r="I61" s="16" t="n"/>
      <c r="J61" s="13" t="n"/>
      <c r="K61" s="9">
        <f>IF(OR($A61="",$F61="",$G61="",$H61=""),"",IFERROR(IF($G61=0,$F61/$H61,-PMT($G61/12,$H61,$F61)),""))</f>
        <v/>
      </c>
      <c r="L61" s="9">
        <f>IF($K61="","",IFERROR($K61+IF($I61="",0,$I61),""))</f>
        <v/>
      </c>
      <c r="M61" s="9">
        <f>IF($K61="","",IFERROR(MAX(0,$K61*$H61-$F61),""))</f>
        <v/>
      </c>
      <c r="N61" s="9">
        <f>IF($K61="","",IFERROR($K61*$H61,""))</f>
        <v/>
      </c>
      <c r="O61" s="19">
        <f>IF(OR($E61="",$H61=""),"",IFERROR(EDATE($E61,$H61-1),""))</f>
        <v/>
      </c>
      <c r="P61" s="8">
        <f>IF(OR($A61="",$E61="",$H61="",Assumptions!$B$4=""),"",IFERROR(IF(Assumptions!$B$4&lt;$E61,0,MIN($H61,(YEAR(Assumptions!$B$4)-YEAR($E61))*12+MONTH(Assumptions!$B$4)-MONTH($E61)+IF(DAY(Assumptions!$B$4)&gt;=DAY($E61),1,0))),""))</f>
        <v/>
      </c>
      <c r="Q61" s="9">
        <f>IF(OR($A61="",$F61="",$G61="",$H61="",$L61="",$P61=""),"",IF($J61="Paid",0,IFERROR(MAX(0,IF($G61=0,$F61-$L61*$P61,$F61*(1+$G61/12)^$P61-$L61*((1+$G61/12)^$P61-1)/($G61/12))),"")))</f>
        <v/>
      </c>
      <c r="R61" s="20">
        <f>IF($A61="","",IF(OR($D61="",$E61="",$F61="",$G61="",$H61="",$J61=""),"Check missing input",IF($E61&lt;$D61,"Check payment date",IF(COUNTIF($A$5:$A$104,$A61)&gt;1,"Duplicate loan ID",IF($G61&gt;Assumptions!$B$7,"Review APR input",IF(AND($J61="Active",$O61&lt;Assumptions!$B$4,$Q61&gt;Assumptions!$B$5),"Review past maturity",IF($J61="On Hold","Review on-hold loan","")))))))</f>
        <v/>
      </c>
    </row>
    <row r="62">
      <c r="A62" s="13" t="n"/>
      <c r="B62" s="14" t="n"/>
      <c r="C62" s="14" t="n"/>
      <c r="D62" s="15" t="n"/>
      <c r="E62" s="15" t="n"/>
      <c r="F62" s="16" t="n"/>
      <c r="G62" s="17" t="n"/>
      <c r="H62" s="18" t="n"/>
      <c r="I62" s="16" t="n"/>
      <c r="J62" s="13" t="n"/>
      <c r="K62" s="10">
        <f>IF(OR($A62="",$F62="",$G62="",$H62=""),"",IFERROR(IF($G62=0,$F62/$H62,-PMT($G62/12,$H62,$F62)),""))</f>
        <v/>
      </c>
      <c r="L62" s="10">
        <f>IF($K62="","",IFERROR($K62+IF($I62="",0,$I62),""))</f>
        <v/>
      </c>
      <c r="M62" s="10">
        <f>IF($K62="","",IFERROR(MAX(0,$K62*$H62-$F62),""))</f>
        <v/>
      </c>
      <c r="N62" s="10">
        <f>IF($K62="","",IFERROR($K62*$H62,""))</f>
        <v/>
      </c>
      <c r="O62" s="21">
        <f>IF(OR($E62="",$H62=""),"",IFERROR(EDATE($E62,$H62-1),""))</f>
        <v/>
      </c>
      <c r="P62" s="7">
        <f>IF(OR($A62="",$E62="",$H62="",Assumptions!$B$4=""),"",IFERROR(IF(Assumptions!$B$4&lt;$E62,0,MIN($H62,(YEAR(Assumptions!$B$4)-YEAR($E62))*12+MONTH(Assumptions!$B$4)-MONTH($E62)+IF(DAY(Assumptions!$B$4)&gt;=DAY($E62),1,0))),""))</f>
        <v/>
      </c>
      <c r="Q62" s="10">
        <f>IF(OR($A62="",$F62="",$G62="",$H62="",$L62="",$P62=""),"",IF($J62="Paid",0,IFERROR(MAX(0,IF($G62=0,$F62-$L62*$P62,$F62*(1+$G62/12)^$P62-$L62*((1+$G62/12)^$P62-1)/($G62/12))),"")))</f>
        <v/>
      </c>
      <c r="R62" s="22">
        <f>IF($A62="","",IF(OR($D62="",$E62="",$F62="",$G62="",$H62="",$J62=""),"Check missing input",IF($E62&lt;$D62,"Check payment date",IF(COUNTIF($A$5:$A$104,$A62)&gt;1,"Duplicate loan ID",IF($G62&gt;Assumptions!$B$7,"Review APR input",IF(AND($J62="Active",$O62&lt;Assumptions!$B$4,$Q62&gt;Assumptions!$B$5),"Review past maturity",IF($J62="On Hold","Review on-hold loan","")))))))</f>
        <v/>
      </c>
    </row>
    <row r="63">
      <c r="A63" s="13" t="n"/>
      <c r="B63" s="14" t="n"/>
      <c r="C63" s="14" t="n"/>
      <c r="D63" s="15" t="n"/>
      <c r="E63" s="15" t="n"/>
      <c r="F63" s="16" t="n"/>
      <c r="G63" s="17" t="n"/>
      <c r="H63" s="18" t="n"/>
      <c r="I63" s="16" t="n"/>
      <c r="J63" s="13" t="n"/>
      <c r="K63" s="9">
        <f>IF(OR($A63="",$F63="",$G63="",$H63=""),"",IFERROR(IF($G63=0,$F63/$H63,-PMT($G63/12,$H63,$F63)),""))</f>
        <v/>
      </c>
      <c r="L63" s="9">
        <f>IF($K63="","",IFERROR($K63+IF($I63="",0,$I63),""))</f>
        <v/>
      </c>
      <c r="M63" s="9">
        <f>IF($K63="","",IFERROR(MAX(0,$K63*$H63-$F63),""))</f>
        <v/>
      </c>
      <c r="N63" s="9">
        <f>IF($K63="","",IFERROR($K63*$H63,""))</f>
        <v/>
      </c>
      <c r="O63" s="19">
        <f>IF(OR($E63="",$H63=""),"",IFERROR(EDATE($E63,$H63-1),""))</f>
        <v/>
      </c>
      <c r="P63" s="8">
        <f>IF(OR($A63="",$E63="",$H63="",Assumptions!$B$4=""),"",IFERROR(IF(Assumptions!$B$4&lt;$E63,0,MIN($H63,(YEAR(Assumptions!$B$4)-YEAR($E63))*12+MONTH(Assumptions!$B$4)-MONTH($E63)+IF(DAY(Assumptions!$B$4)&gt;=DAY($E63),1,0))),""))</f>
        <v/>
      </c>
      <c r="Q63" s="9">
        <f>IF(OR($A63="",$F63="",$G63="",$H63="",$L63="",$P63=""),"",IF($J63="Paid",0,IFERROR(MAX(0,IF($G63=0,$F63-$L63*$P63,$F63*(1+$G63/12)^$P63-$L63*((1+$G63/12)^$P63-1)/($G63/12))),"")))</f>
        <v/>
      </c>
      <c r="R63" s="20">
        <f>IF($A63="","",IF(OR($D63="",$E63="",$F63="",$G63="",$H63="",$J63=""),"Check missing input",IF($E63&lt;$D63,"Check payment date",IF(COUNTIF($A$5:$A$104,$A63)&gt;1,"Duplicate loan ID",IF($G63&gt;Assumptions!$B$7,"Review APR input",IF(AND($J63="Active",$O63&lt;Assumptions!$B$4,$Q63&gt;Assumptions!$B$5),"Review past maturity",IF($J63="On Hold","Review on-hold loan","")))))))</f>
        <v/>
      </c>
    </row>
    <row r="64">
      <c r="A64" s="13" t="n"/>
      <c r="B64" s="14" t="n"/>
      <c r="C64" s="14" t="n"/>
      <c r="D64" s="15" t="n"/>
      <c r="E64" s="15" t="n"/>
      <c r="F64" s="16" t="n"/>
      <c r="G64" s="17" t="n"/>
      <c r="H64" s="18" t="n"/>
      <c r="I64" s="16" t="n"/>
      <c r="J64" s="13" t="n"/>
      <c r="K64" s="10">
        <f>IF(OR($A64="",$F64="",$G64="",$H64=""),"",IFERROR(IF($G64=0,$F64/$H64,-PMT($G64/12,$H64,$F64)),""))</f>
        <v/>
      </c>
      <c r="L64" s="10">
        <f>IF($K64="","",IFERROR($K64+IF($I64="",0,$I64),""))</f>
        <v/>
      </c>
      <c r="M64" s="10">
        <f>IF($K64="","",IFERROR(MAX(0,$K64*$H64-$F64),""))</f>
        <v/>
      </c>
      <c r="N64" s="10">
        <f>IF($K64="","",IFERROR($K64*$H64,""))</f>
        <v/>
      </c>
      <c r="O64" s="21">
        <f>IF(OR($E64="",$H64=""),"",IFERROR(EDATE($E64,$H64-1),""))</f>
        <v/>
      </c>
      <c r="P64" s="7">
        <f>IF(OR($A64="",$E64="",$H64="",Assumptions!$B$4=""),"",IFERROR(IF(Assumptions!$B$4&lt;$E64,0,MIN($H64,(YEAR(Assumptions!$B$4)-YEAR($E64))*12+MONTH(Assumptions!$B$4)-MONTH($E64)+IF(DAY(Assumptions!$B$4)&gt;=DAY($E64),1,0))),""))</f>
        <v/>
      </c>
      <c r="Q64" s="10">
        <f>IF(OR($A64="",$F64="",$G64="",$H64="",$L64="",$P64=""),"",IF($J64="Paid",0,IFERROR(MAX(0,IF($G64=0,$F64-$L64*$P64,$F64*(1+$G64/12)^$P64-$L64*((1+$G64/12)^$P64-1)/($G64/12))),"")))</f>
        <v/>
      </c>
      <c r="R64" s="22">
        <f>IF($A64="","",IF(OR($D64="",$E64="",$F64="",$G64="",$H64="",$J64=""),"Check missing input",IF($E64&lt;$D64,"Check payment date",IF(COUNTIF($A$5:$A$104,$A64)&gt;1,"Duplicate loan ID",IF($G64&gt;Assumptions!$B$7,"Review APR input",IF(AND($J64="Active",$O64&lt;Assumptions!$B$4,$Q64&gt;Assumptions!$B$5),"Review past maturity",IF($J64="On Hold","Review on-hold loan","")))))))</f>
        <v/>
      </c>
    </row>
    <row r="65">
      <c r="A65" s="13" t="n"/>
      <c r="B65" s="14" t="n"/>
      <c r="C65" s="14" t="n"/>
      <c r="D65" s="15" t="n"/>
      <c r="E65" s="15" t="n"/>
      <c r="F65" s="16" t="n"/>
      <c r="G65" s="17" t="n"/>
      <c r="H65" s="18" t="n"/>
      <c r="I65" s="16" t="n"/>
      <c r="J65" s="13" t="n"/>
      <c r="K65" s="9">
        <f>IF(OR($A65="",$F65="",$G65="",$H65=""),"",IFERROR(IF($G65=0,$F65/$H65,-PMT($G65/12,$H65,$F65)),""))</f>
        <v/>
      </c>
      <c r="L65" s="9">
        <f>IF($K65="","",IFERROR($K65+IF($I65="",0,$I65),""))</f>
        <v/>
      </c>
      <c r="M65" s="9">
        <f>IF($K65="","",IFERROR(MAX(0,$K65*$H65-$F65),""))</f>
        <v/>
      </c>
      <c r="N65" s="9">
        <f>IF($K65="","",IFERROR($K65*$H65,""))</f>
        <v/>
      </c>
      <c r="O65" s="19">
        <f>IF(OR($E65="",$H65=""),"",IFERROR(EDATE($E65,$H65-1),""))</f>
        <v/>
      </c>
      <c r="P65" s="8">
        <f>IF(OR($A65="",$E65="",$H65="",Assumptions!$B$4=""),"",IFERROR(IF(Assumptions!$B$4&lt;$E65,0,MIN($H65,(YEAR(Assumptions!$B$4)-YEAR($E65))*12+MONTH(Assumptions!$B$4)-MONTH($E65)+IF(DAY(Assumptions!$B$4)&gt;=DAY($E65),1,0))),""))</f>
        <v/>
      </c>
      <c r="Q65" s="9">
        <f>IF(OR($A65="",$F65="",$G65="",$H65="",$L65="",$P65=""),"",IF($J65="Paid",0,IFERROR(MAX(0,IF($G65=0,$F65-$L65*$P65,$F65*(1+$G65/12)^$P65-$L65*((1+$G65/12)^$P65-1)/($G65/12))),"")))</f>
        <v/>
      </c>
      <c r="R65" s="20">
        <f>IF($A65="","",IF(OR($D65="",$E65="",$F65="",$G65="",$H65="",$J65=""),"Check missing input",IF($E65&lt;$D65,"Check payment date",IF(COUNTIF($A$5:$A$104,$A65)&gt;1,"Duplicate loan ID",IF($G65&gt;Assumptions!$B$7,"Review APR input",IF(AND($J65="Active",$O65&lt;Assumptions!$B$4,$Q65&gt;Assumptions!$B$5),"Review past maturity",IF($J65="On Hold","Review on-hold loan","")))))))</f>
        <v/>
      </c>
    </row>
    <row r="66">
      <c r="A66" s="13" t="n"/>
      <c r="B66" s="14" t="n"/>
      <c r="C66" s="14" t="n"/>
      <c r="D66" s="15" t="n"/>
      <c r="E66" s="15" t="n"/>
      <c r="F66" s="16" t="n"/>
      <c r="G66" s="17" t="n"/>
      <c r="H66" s="18" t="n"/>
      <c r="I66" s="16" t="n"/>
      <c r="J66" s="13" t="n"/>
      <c r="K66" s="10">
        <f>IF(OR($A66="",$F66="",$G66="",$H66=""),"",IFERROR(IF($G66=0,$F66/$H66,-PMT($G66/12,$H66,$F66)),""))</f>
        <v/>
      </c>
      <c r="L66" s="10">
        <f>IF($K66="","",IFERROR($K66+IF($I66="",0,$I66),""))</f>
        <v/>
      </c>
      <c r="M66" s="10">
        <f>IF($K66="","",IFERROR(MAX(0,$K66*$H66-$F66),""))</f>
        <v/>
      </c>
      <c r="N66" s="10">
        <f>IF($K66="","",IFERROR($K66*$H66,""))</f>
        <v/>
      </c>
      <c r="O66" s="21">
        <f>IF(OR($E66="",$H66=""),"",IFERROR(EDATE($E66,$H66-1),""))</f>
        <v/>
      </c>
      <c r="P66" s="7">
        <f>IF(OR($A66="",$E66="",$H66="",Assumptions!$B$4=""),"",IFERROR(IF(Assumptions!$B$4&lt;$E66,0,MIN($H66,(YEAR(Assumptions!$B$4)-YEAR($E66))*12+MONTH(Assumptions!$B$4)-MONTH($E66)+IF(DAY(Assumptions!$B$4)&gt;=DAY($E66),1,0))),""))</f>
        <v/>
      </c>
      <c r="Q66" s="10">
        <f>IF(OR($A66="",$F66="",$G66="",$H66="",$L66="",$P66=""),"",IF($J66="Paid",0,IFERROR(MAX(0,IF($G66=0,$F66-$L66*$P66,$F66*(1+$G66/12)^$P66-$L66*((1+$G66/12)^$P66-1)/($G66/12))),"")))</f>
        <v/>
      </c>
      <c r="R66" s="22">
        <f>IF($A66="","",IF(OR($D66="",$E66="",$F66="",$G66="",$H66="",$J66=""),"Check missing input",IF($E66&lt;$D66,"Check payment date",IF(COUNTIF($A$5:$A$104,$A66)&gt;1,"Duplicate loan ID",IF($G66&gt;Assumptions!$B$7,"Review APR input",IF(AND($J66="Active",$O66&lt;Assumptions!$B$4,$Q66&gt;Assumptions!$B$5),"Review past maturity",IF($J66="On Hold","Review on-hold loan","")))))))</f>
        <v/>
      </c>
    </row>
    <row r="67">
      <c r="A67" s="13" t="n"/>
      <c r="B67" s="14" t="n"/>
      <c r="C67" s="14" t="n"/>
      <c r="D67" s="15" t="n"/>
      <c r="E67" s="15" t="n"/>
      <c r="F67" s="16" t="n"/>
      <c r="G67" s="17" t="n"/>
      <c r="H67" s="18" t="n"/>
      <c r="I67" s="16" t="n"/>
      <c r="J67" s="13" t="n"/>
      <c r="K67" s="9">
        <f>IF(OR($A67="",$F67="",$G67="",$H67=""),"",IFERROR(IF($G67=0,$F67/$H67,-PMT($G67/12,$H67,$F67)),""))</f>
        <v/>
      </c>
      <c r="L67" s="9">
        <f>IF($K67="","",IFERROR($K67+IF($I67="",0,$I67),""))</f>
        <v/>
      </c>
      <c r="M67" s="9">
        <f>IF($K67="","",IFERROR(MAX(0,$K67*$H67-$F67),""))</f>
        <v/>
      </c>
      <c r="N67" s="9">
        <f>IF($K67="","",IFERROR($K67*$H67,""))</f>
        <v/>
      </c>
      <c r="O67" s="19">
        <f>IF(OR($E67="",$H67=""),"",IFERROR(EDATE($E67,$H67-1),""))</f>
        <v/>
      </c>
      <c r="P67" s="8">
        <f>IF(OR($A67="",$E67="",$H67="",Assumptions!$B$4=""),"",IFERROR(IF(Assumptions!$B$4&lt;$E67,0,MIN($H67,(YEAR(Assumptions!$B$4)-YEAR($E67))*12+MONTH(Assumptions!$B$4)-MONTH($E67)+IF(DAY(Assumptions!$B$4)&gt;=DAY($E67),1,0))),""))</f>
        <v/>
      </c>
      <c r="Q67" s="9">
        <f>IF(OR($A67="",$F67="",$G67="",$H67="",$L67="",$P67=""),"",IF($J67="Paid",0,IFERROR(MAX(0,IF($G67=0,$F67-$L67*$P67,$F67*(1+$G67/12)^$P67-$L67*((1+$G67/12)^$P67-1)/($G67/12))),"")))</f>
        <v/>
      </c>
      <c r="R67" s="20">
        <f>IF($A67="","",IF(OR($D67="",$E67="",$F67="",$G67="",$H67="",$J67=""),"Check missing input",IF($E67&lt;$D67,"Check payment date",IF(COUNTIF($A$5:$A$104,$A67)&gt;1,"Duplicate loan ID",IF($G67&gt;Assumptions!$B$7,"Review APR input",IF(AND($J67="Active",$O67&lt;Assumptions!$B$4,$Q67&gt;Assumptions!$B$5),"Review past maturity",IF($J67="On Hold","Review on-hold loan","")))))))</f>
        <v/>
      </c>
    </row>
    <row r="68">
      <c r="A68" s="13" t="n"/>
      <c r="B68" s="14" t="n"/>
      <c r="C68" s="14" t="n"/>
      <c r="D68" s="15" t="n"/>
      <c r="E68" s="15" t="n"/>
      <c r="F68" s="16" t="n"/>
      <c r="G68" s="17" t="n"/>
      <c r="H68" s="18" t="n"/>
      <c r="I68" s="16" t="n"/>
      <c r="J68" s="13" t="n"/>
      <c r="K68" s="10">
        <f>IF(OR($A68="",$F68="",$G68="",$H68=""),"",IFERROR(IF($G68=0,$F68/$H68,-PMT($G68/12,$H68,$F68)),""))</f>
        <v/>
      </c>
      <c r="L68" s="10">
        <f>IF($K68="","",IFERROR($K68+IF($I68="",0,$I68),""))</f>
        <v/>
      </c>
      <c r="M68" s="10">
        <f>IF($K68="","",IFERROR(MAX(0,$K68*$H68-$F68),""))</f>
        <v/>
      </c>
      <c r="N68" s="10">
        <f>IF($K68="","",IFERROR($K68*$H68,""))</f>
        <v/>
      </c>
      <c r="O68" s="21">
        <f>IF(OR($E68="",$H68=""),"",IFERROR(EDATE($E68,$H68-1),""))</f>
        <v/>
      </c>
      <c r="P68" s="7">
        <f>IF(OR($A68="",$E68="",$H68="",Assumptions!$B$4=""),"",IFERROR(IF(Assumptions!$B$4&lt;$E68,0,MIN($H68,(YEAR(Assumptions!$B$4)-YEAR($E68))*12+MONTH(Assumptions!$B$4)-MONTH($E68)+IF(DAY(Assumptions!$B$4)&gt;=DAY($E68),1,0))),""))</f>
        <v/>
      </c>
      <c r="Q68" s="10">
        <f>IF(OR($A68="",$F68="",$G68="",$H68="",$L68="",$P68=""),"",IF($J68="Paid",0,IFERROR(MAX(0,IF($G68=0,$F68-$L68*$P68,$F68*(1+$G68/12)^$P68-$L68*((1+$G68/12)^$P68-1)/($G68/12))),"")))</f>
        <v/>
      </c>
      <c r="R68" s="22">
        <f>IF($A68="","",IF(OR($D68="",$E68="",$F68="",$G68="",$H68="",$J68=""),"Check missing input",IF($E68&lt;$D68,"Check payment date",IF(COUNTIF($A$5:$A$104,$A68)&gt;1,"Duplicate loan ID",IF($G68&gt;Assumptions!$B$7,"Review APR input",IF(AND($J68="Active",$O68&lt;Assumptions!$B$4,$Q68&gt;Assumptions!$B$5),"Review past maturity",IF($J68="On Hold","Review on-hold loan","")))))))</f>
        <v/>
      </c>
    </row>
    <row r="69">
      <c r="A69" s="13" t="n"/>
      <c r="B69" s="14" t="n"/>
      <c r="C69" s="14" t="n"/>
      <c r="D69" s="15" t="n"/>
      <c r="E69" s="15" t="n"/>
      <c r="F69" s="16" t="n"/>
      <c r="G69" s="17" t="n"/>
      <c r="H69" s="18" t="n"/>
      <c r="I69" s="16" t="n"/>
      <c r="J69" s="13" t="n"/>
      <c r="K69" s="9">
        <f>IF(OR($A69="",$F69="",$G69="",$H69=""),"",IFERROR(IF($G69=0,$F69/$H69,-PMT($G69/12,$H69,$F69)),""))</f>
        <v/>
      </c>
      <c r="L69" s="9">
        <f>IF($K69="","",IFERROR($K69+IF($I69="",0,$I69),""))</f>
        <v/>
      </c>
      <c r="M69" s="9">
        <f>IF($K69="","",IFERROR(MAX(0,$K69*$H69-$F69),""))</f>
        <v/>
      </c>
      <c r="N69" s="9">
        <f>IF($K69="","",IFERROR($K69*$H69,""))</f>
        <v/>
      </c>
      <c r="O69" s="19">
        <f>IF(OR($E69="",$H69=""),"",IFERROR(EDATE($E69,$H69-1),""))</f>
        <v/>
      </c>
      <c r="P69" s="8">
        <f>IF(OR($A69="",$E69="",$H69="",Assumptions!$B$4=""),"",IFERROR(IF(Assumptions!$B$4&lt;$E69,0,MIN($H69,(YEAR(Assumptions!$B$4)-YEAR($E69))*12+MONTH(Assumptions!$B$4)-MONTH($E69)+IF(DAY(Assumptions!$B$4)&gt;=DAY($E69),1,0))),""))</f>
        <v/>
      </c>
      <c r="Q69" s="9">
        <f>IF(OR($A69="",$F69="",$G69="",$H69="",$L69="",$P69=""),"",IF($J69="Paid",0,IFERROR(MAX(0,IF($G69=0,$F69-$L69*$P69,$F69*(1+$G69/12)^$P69-$L69*((1+$G69/12)^$P69-1)/($G69/12))),"")))</f>
        <v/>
      </c>
      <c r="R69" s="20">
        <f>IF($A69="","",IF(OR($D69="",$E69="",$F69="",$G69="",$H69="",$J69=""),"Check missing input",IF($E69&lt;$D69,"Check payment date",IF(COUNTIF($A$5:$A$104,$A69)&gt;1,"Duplicate loan ID",IF($G69&gt;Assumptions!$B$7,"Review APR input",IF(AND($J69="Active",$O69&lt;Assumptions!$B$4,$Q69&gt;Assumptions!$B$5),"Review past maturity",IF($J69="On Hold","Review on-hold loan","")))))))</f>
        <v/>
      </c>
    </row>
    <row r="70">
      <c r="A70" s="13" t="n"/>
      <c r="B70" s="14" t="n"/>
      <c r="C70" s="14" t="n"/>
      <c r="D70" s="15" t="n"/>
      <c r="E70" s="15" t="n"/>
      <c r="F70" s="16" t="n"/>
      <c r="G70" s="17" t="n"/>
      <c r="H70" s="18" t="n"/>
      <c r="I70" s="16" t="n"/>
      <c r="J70" s="13" t="n"/>
      <c r="K70" s="10">
        <f>IF(OR($A70="",$F70="",$G70="",$H70=""),"",IFERROR(IF($G70=0,$F70/$H70,-PMT($G70/12,$H70,$F70)),""))</f>
        <v/>
      </c>
      <c r="L70" s="10">
        <f>IF($K70="","",IFERROR($K70+IF($I70="",0,$I70),""))</f>
        <v/>
      </c>
      <c r="M70" s="10">
        <f>IF($K70="","",IFERROR(MAX(0,$K70*$H70-$F70),""))</f>
        <v/>
      </c>
      <c r="N70" s="10">
        <f>IF($K70="","",IFERROR($K70*$H70,""))</f>
        <v/>
      </c>
      <c r="O70" s="21">
        <f>IF(OR($E70="",$H70=""),"",IFERROR(EDATE($E70,$H70-1),""))</f>
        <v/>
      </c>
      <c r="P70" s="7">
        <f>IF(OR($A70="",$E70="",$H70="",Assumptions!$B$4=""),"",IFERROR(IF(Assumptions!$B$4&lt;$E70,0,MIN($H70,(YEAR(Assumptions!$B$4)-YEAR($E70))*12+MONTH(Assumptions!$B$4)-MONTH($E70)+IF(DAY(Assumptions!$B$4)&gt;=DAY($E70),1,0))),""))</f>
        <v/>
      </c>
      <c r="Q70" s="10">
        <f>IF(OR($A70="",$F70="",$G70="",$H70="",$L70="",$P70=""),"",IF($J70="Paid",0,IFERROR(MAX(0,IF($G70=0,$F70-$L70*$P70,$F70*(1+$G70/12)^$P70-$L70*((1+$G70/12)^$P70-1)/($G70/12))),"")))</f>
        <v/>
      </c>
      <c r="R70" s="22">
        <f>IF($A70="","",IF(OR($D70="",$E70="",$F70="",$G70="",$H70="",$J70=""),"Check missing input",IF($E70&lt;$D70,"Check payment date",IF(COUNTIF($A$5:$A$104,$A70)&gt;1,"Duplicate loan ID",IF($G70&gt;Assumptions!$B$7,"Review APR input",IF(AND($J70="Active",$O70&lt;Assumptions!$B$4,$Q70&gt;Assumptions!$B$5),"Review past maturity",IF($J70="On Hold","Review on-hold loan","")))))))</f>
        <v/>
      </c>
    </row>
    <row r="71">
      <c r="A71" s="13" t="n"/>
      <c r="B71" s="14" t="n"/>
      <c r="C71" s="14" t="n"/>
      <c r="D71" s="15" t="n"/>
      <c r="E71" s="15" t="n"/>
      <c r="F71" s="16" t="n"/>
      <c r="G71" s="17" t="n"/>
      <c r="H71" s="18" t="n"/>
      <c r="I71" s="16" t="n"/>
      <c r="J71" s="13" t="n"/>
      <c r="K71" s="9">
        <f>IF(OR($A71="",$F71="",$G71="",$H71=""),"",IFERROR(IF($G71=0,$F71/$H71,-PMT($G71/12,$H71,$F71)),""))</f>
        <v/>
      </c>
      <c r="L71" s="9">
        <f>IF($K71="","",IFERROR($K71+IF($I71="",0,$I71),""))</f>
        <v/>
      </c>
      <c r="M71" s="9">
        <f>IF($K71="","",IFERROR(MAX(0,$K71*$H71-$F71),""))</f>
        <v/>
      </c>
      <c r="N71" s="9">
        <f>IF($K71="","",IFERROR($K71*$H71,""))</f>
        <v/>
      </c>
      <c r="O71" s="19">
        <f>IF(OR($E71="",$H71=""),"",IFERROR(EDATE($E71,$H71-1),""))</f>
        <v/>
      </c>
      <c r="P71" s="8">
        <f>IF(OR($A71="",$E71="",$H71="",Assumptions!$B$4=""),"",IFERROR(IF(Assumptions!$B$4&lt;$E71,0,MIN($H71,(YEAR(Assumptions!$B$4)-YEAR($E71))*12+MONTH(Assumptions!$B$4)-MONTH($E71)+IF(DAY(Assumptions!$B$4)&gt;=DAY($E71),1,0))),""))</f>
        <v/>
      </c>
      <c r="Q71" s="9">
        <f>IF(OR($A71="",$F71="",$G71="",$H71="",$L71="",$P71=""),"",IF($J71="Paid",0,IFERROR(MAX(0,IF($G71=0,$F71-$L71*$P71,$F71*(1+$G71/12)^$P71-$L71*((1+$G71/12)^$P71-1)/($G71/12))),"")))</f>
        <v/>
      </c>
      <c r="R71" s="20">
        <f>IF($A71="","",IF(OR($D71="",$E71="",$F71="",$G71="",$H71="",$J71=""),"Check missing input",IF($E71&lt;$D71,"Check payment date",IF(COUNTIF($A$5:$A$104,$A71)&gt;1,"Duplicate loan ID",IF($G71&gt;Assumptions!$B$7,"Review APR input",IF(AND($J71="Active",$O71&lt;Assumptions!$B$4,$Q71&gt;Assumptions!$B$5),"Review past maturity",IF($J71="On Hold","Review on-hold loan","")))))))</f>
        <v/>
      </c>
    </row>
    <row r="72">
      <c r="A72" s="13" t="n"/>
      <c r="B72" s="14" t="n"/>
      <c r="C72" s="14" t="n"/>
      <c r="D72" s="15" t="n"/>
      <c r="E72" s="15" t="n"/>
      <c r="F72" s="16" t="n"/>
      <c r="G72" s="17" t="n"/>
      <c r="H72" s="18" t="n"/>
      <c r="I72" s="16" t="n"/>
      <c r="J72" s="13" t="n"/>
      <c r="K72" s="10">
        <f>IF(OR($A72="",$F72="",$G72="",$H72=""),"",IFERROR(IF($G72=0,$F72/$H72,-PMT($G72/12,$H72,$F72)),""))</f>
        <v/>
      </c>
      <c r="L72" s="10">
        <f>IF($K72="","",IFERROR($K72+IF($I72="",0,$I72),""))</f>
        <v/>
      </c>
      <c r="M72" s="10">
        <f>IF($K72="","",IFERROR(MAX(0,$K72*$H72-$F72),""))</f>
        <v/>
      </c>
      <c r="N72" s="10">
        <f>IF($K72="","",IFERROR($K72*$H72,""))</f>
        <v/>
      </c>
      <c r="O72" s="21">
        <f>IF(OR($E72="",$H72=""),"",IFERROR(EDATE($E72,$H72-1),""))</f>
        <v/>
      </c>
      <c r="P72" s="7">
        <f>IF(OR($A72="",$E72="",$H72="",Assumptions!$B$4=""),"",IFERROR(IF(Assumptions!$B$4&lt;$E72,0,MIN($H72,(YEAR(Assumptions!$B$4)-YEAR($E72))*12+MONTH(Assumptions!$B$4)-MONTH($E72)+IF(DAY(Assumptions!$B$4)&gt;=DAY($E72),1,0))),""))</f>
        <v/>
      </c>
      <c r="Q72" s="10">
        <f>IF(OR($A72="",$F72="",$G72="",$H72="",$L72="",$P72=""),"",IF($J72="Paid",0,IFERROR(MAX(0,IF($G72=0,$F72-$L72*$P72,$F72*(1+$G72/12)^$P72-$L72*((1+$G72/12)^$P72-1)/($G72/12))),"")))</f>
        <v/>
      </c>
      <c r="R72" s="22">
        <f>IF($A72="","",IF(OR($D72="",$E72="",$F72="",$G72="",$H72="",$J72=""),"Check missing input",IF($E72&lt;$D72,"Check payment date",IF(COUNTIF($A$5:$A$104,$A72)&gt;1,"Duplicate loan ID",IF($G72&gt;Assumptions!$B$7,"Review APR input",IF(AND($J72="Active",$O72&lt;Assumptions!$B$4,$Q72&gt;Assumptions!$B$5),"Review past maturity",IF($J72="On Hold","Review on-hold loan","")))))))</f>
        <v/>
      </c>
    </row>
    <row r="73">
      <c r="A73" s="13" t="n"/>
      <c r="B73" s="14" t="n"/>
      <c r="C73" s="14" t="n"/>
      <c r="D73" s="15" t="n"/>
      <c r="E73" s="15" t="n"/>
      <c r="F73" s="16" t="n"/>
      <c r="G73" s="17" t="n"/>
      <c r="H73" s="18" t="n"/>
      <c r="I73" s="16" t="n"/>
      <c r="J73" s="13" t="n"/>
      <c r="K73" s="9">
        <f>IF(OR($A73="",$F73="",$G73="",$H73=""),"",IFERROR(IF($G73=0,$F73/$H73,-PMT($G73/12,$H73,$F73)),""))</f>
        <v/>
      </c>
      <c r="L73" s="9">
        <f>IF($K73="","",IFERROR($K73+IF($I73="",0,$I73),""))</f>
        <v/>
      </c>
      <c r="M73" s="9">
        <f>IF($K73="","",IFERROR(MAX(0,$K73*$H73-$F73),""))</f>
        <v/>
      </c>
      <c r="N73" s="9">
        <f>IF($K73="","",IFERROR($K73*$H73,""))</f>
        <v/>
      </c>
      <c r="O73" s="19">
        <f>IF(OR($E73="",$H73=""),"",IFERROR(EDATE($E73,$H73-1),""))</f>
        <v/>
      </c>
      <c r="P73" s="8">
        <f>IF(OR($A73="",$E73="",$H73="",Assumptions!$B$4=""),"",IFERROR(IF(Assumptions!$B$4&lt;$E73,0,MIN($H73,(YEAR(Assumptions!$B$4)-YEAR($E73))*12+MONTH(Assumptions!$B$4)-MONTH($E73)+IF(DAY(Assumptions!$B$4)&gt;=DAY($E73),1,0))),""))</f>
        <v/>
      </c>
      <c r="Q73" s="9">
        <f>IF(OR($A73="",$F73="",$G73="",$H73="",$L73="",$P73=""),"",IF($J73="Paid",0,IFERROR(MAX(0,IF($G73=0,$F73-$L73*$P73,$F73*(1+$G73/12)^$P73-$L73*((1+$G73/12)^$P73-1)/($G73/12))),"")))</f>
        <v/>
      </c>
      <c r="R73" s="20">
        <f>IF($A73="","",IF(OR($D73="",$E73="",$F73="",$G73="",$H73="",$J73=""),"Check missing input",IF($E73&lt;$D73,"Check payment date",IF(COUNTIF($A$5:$A$104,$A73)&gt;1,"Duplicate loan ID",IF($G73&gt;Assumptions!$B$7,"Review APR input",IF(AND($J73="Active",$O73&lt;Assumptions!$B$4,$Q73&gt;Assumptions!$B$5),"Review past maturity",IF($J73="On Hold","Review on-hold loan","")))))))</f>
        <v/>
      </c>
    </row>
    <row r="74">
      <c r="A74" s="13" t="n"/>
      <c r="B74" s="14" t="n"/>
      <c r="C74" s="14" t="n"/>
      <c r="D74" s="15" t="n"/>
      <c r="E74" s="15" t="n"/>
      <c r="F74" s="16" t="n"/>
      <c r="G74" s="17" t="n"/>
      <c r="H74" s="18" t="n"/>
      <c r="I74" s="16" t="n"/>
      <c r="J74" s="13" t="n"/>
      <c r="K74" s="10">
        <f>IF(OR($A74="",$F74="",$G74="",$H74=""),"",IFERROR(IF($G74=0,$F74/$H74,-PMT($G74/12,$H74,$F74)),""))</f>
        <v/>
      </c>
      <c r="L74" s="10">
        <f>IF($K74="","",IFERROR($K74+IF($I74="",0,$I74),""))</f>
        <v/>
      </c>
      <c r="M74" s="10">
        <f>IF($K74="","",IFERROR(MAX(0,$K74*$H74-$F74),""))</f>
        <v/>
      </c>
      <c r="N74" s="10">
        <f>IF($K74="","",IFERROR($K74*$H74,""))</f>
        <v/>
      </c>
      <c r="O74" s="21">
        <f>IF(OR($E74="",$H74=""),"",IFERROR(EDATE($E74,$H74-1),""))</f>
        <v/>
      </c>
      <c r="P74" s="7">
        <f>IF(OR($A74="",$E74="",$H74="",Assumptions!$B$4=""),"",IFERROR(IF(Assumptions!$B$4&lt;$E74,0,MIN($H74,(YEAR(Assumptions!$B$4)-YEAR($E74))*12+MONTH(Assumptions!$B$4)-MONTH($E74)+IF(DAY(Assumptions!$B$4)&gt;=DAY($E74),1,0))),""))</f>
        <v/>
      </c>
      <c r="Q74" s="10">
        <f>IF(OR($A74="",$F74="",$G74="",$H74="",$L74="",$P74=""),"",IF($J74="Paid",0,IFERROR(MAX(0,IF($G74=0,$F74-$L74*$P74,$F74*(1+$G74/12)^$P74-$L74*((1+$G74/12)^$P74-1)/($G74/12))),"")))</f>
        <v/>
      </c>
      <c r="R74" s="22">
        <f>IF($A74="","",IF(OR($D74="",$E74="",$F74="",$G74="",$H74="",$J74=""),"Check missing input",IF($E74&lt;$D74,"Check payment date",IF(COUNTIF($A$5:$A$104,$A74)&gt;1,"Duplicate loan ID",IF($G74&gt;Assumptions!$B$7,"Review APR input",IF(AND($J74="Active",$O74&lt;Assumptions!$B$4,$Q74&gt;Assumptions!$B$5),"Review past maturity",IF($J74="On Hold","Review on-hold loan","")))))))</f>
        <v/>
      </c>
    </row>
    <row r="75">
      <c r="A75" s="13" t="n"/>
      <c r="B75" s="14" t="n"/>
      <c r="C75" s="14" t="n"/>
      <c r="D75" s="15" t="n"/>
      <c r="E75" s="15" t="n"/>
      <c r="F75" s="16" t="n"/>
      <c r="G75" s="17" t="n"/>
      <c r="H75" s="18" t="n"/>
      <c r="I75" s="16" t="n"/>
      <c r="J75" s="13" t="n"/>
      <c r="K75" s="9">
        <f>IF(OR($A75="",$F75="",$G75="",$H75=""),"",IFERROR(IF($G75=0,$F75/$H75,-PMT($G75/12,$H75,$F75)),""))</f>
        <v/>
      </c>
      <c r="L75" s="9">
        <f>IF($K75="","",IFERROR($K75+IF($I75="",0,$I75),""))</f>
        <v/>
      </c>
      <c r="M75" s="9">
        <f>IF($K75="","",IFERROR(MAX(0,$K75*$H75-$F75),""))</f>
        <v/>
      </c>
      <c r="N75" s="9">
        <f>IF($K75="","",IFERROR($K75*$H75,""))</f>
        <v/>
      </c>
      <c r="O75" s="19">
        <f>IF(OR($E75="",$H75=""),"",IFERROR(EDATE($E75,$H75-1),""))</f>
        <v/>
      </c>
      <c r="P75" s="8">
        <f>IF(OR($A75="",$E75="",$H75="",Assumptions!$B$4=""),"",IFERROR(IF(Assumptions!$B$4&lt;$E75,0,MIN($H75,(YEAR(Assumptions!$B$4)-YEAR($E75))*12+MONTH(Assumptions!$B$4)-MONTH($E75)+IF(DAY(Assumptions!$B$4)&gt;=DAY($E75),1,0))),""))</f>
        <v/>
      </c>
      <c r="Q75" s="9">
        <f>IF(OR($A75="",$F75="",$G75="",$H75="",$L75="",$P75=""),"",IF($J75="Paid",0,IFERROR(MAX(0,IF($G75=0,$F75-$L75*$P75,$F75*(1+$G75/12)^$P75-$L75*((1+$G75/12)^$P75-1)/($G75/12))),"")))</f>
        <v/>
      </c>
      <c r="R75" s="20">
        <f>IF($A75="","",IF(OR($D75="",$E75="",$F75="",$G75="",$H75="",$J75=""),"Check missing input",IF($E75&lt;$D75,"Check payment date",IF(COUNTIF($A$5:$A$104,$A75)&gt;1,"Duplicate loan ID",IF($G75&gt;Assumptions!$B$7,"Review APR input",IF(AND($J75="Active",$O75&lt;Assumptions!$B$4,$Q75&gt;Assumptions!$B$5),"Review past maturity",IF($J75="On Hold","Review on-hold loan","")))))))</f>
        <v/>
      </c>
    </row>
    <row r="76">
      <c r="A76" s="13" t="n"/>
      <c r="B76" s="14" t="n"/>
      <c r="C76" s="14" t="n"/>
      <c r="D76" s="15" t="n"/>
      <c r="E76" s="15" t="n"/>
      <c r="F76" s="16" t="n"/>
      <c r="G76" s="17" t="n"/>
      <c r="H76" s="18" t="n"/>
      <c r="I76" s="16" t="n"/>
      <c r="J76" s="13" t="n"/>
      <c r="K76" s="10">
        <f>IF(OR($A76="",$F76="",$G76="",$H76=""),"",IFERROR(IF($G76=0,$F76/$H76,-PMT($G76/12,$H76,$F76)),""))</f>
        <v/>
      </c>
      <c r="L76" s="10">
        <f>IF($K76="","",IFERROR($K76+IF($I76="",0,$I76),""))</f>
        <v/>
      </c>
      <c r="M76" s="10">
        <f>IF($K76="","",IFERROR(MAX(0,$K76*$H76-$F76),""))</f>
        <v/>
      </c>
      <c r="N76" s="10">
        <f>IF($K76="","",IFERROR($K76*$H76,""))</f>
        <v/>
      </c>
      <c r="O76" s="21">
        <f>IF(OR($E76="",$H76=""),"",IFERROR(EDATE($E76,$H76-1),""))</f>
        <v/>
      </c>
      <c r="P76" s="7">
        <f>IF(OR($A76="",$E76="",$H76="",Assumptions!$B$4=""),"",IFERROR(IF(Assumptions!$B$4&lt;$E76,0,MIN($H76,(YEAR(Assumptions!$B$4)-YEAR($E76))*12+MONTH(Assumptions!$B$4)-MONTH($E76)+IF(DAY(Assumptions!$B$4)&gt;=DAY($E76),1,0))),""))</f>
        <v/>
      </c>
      <c r="Q76" s="10">
        <f>IF(OR($A76="",$F76="",$G76="",$H76="",$L76="",$P76=""),"",IF($J76="Paid",0,IFERROR(MAX(0,IF($G76=0,$F76-$L76*$P76,$F76*(1+$G76/12)^$P76-$L76*((1+$G76/12)^$P76-1)/($G76/12))),"")))</f>
        <v/>
      </c>
      <c r="R76" s="22">
        <f>IF($A76="","",IF(OR($D76="",$E76="",$F76="",$G76="",$H76="",$J76=""),"Check missing input",IF($E76&lt;$D76,"Check payment date",IF(COUNTIF($A$5:$A$104,$A76)&gt;1,"Duplicate loan ID",IF($G76&gt;Assumptions!$B$7,"Review APR input",IF(AND($J76="Active",$O76&lt;Assumptions!$B$4,$Q76&gt;Assumptions!$B$5),"Review past maturity",IF($J76="On Hold","Review on-hold loan","")))))))</f>
        <v/>
      </c>
    </row>
    <row r="77">
      <c r="A77" s="13" t="n"/>
      <c r="B77" s="14" t="n"/>
      <c r="C77" s="14" t="n"/>
      <c r="D77" s="15" t="n"/>
      <c r="E77" s="15" t="n"/>
      <c r="F77" s="16" t="n"/>
      <c r="G77" s="17" t="n"/>
      <c r="H77" s="18" t="n"/>
      <c r="I77" s="16" t="n"/>
      <c r="J77" s="13" t="n"/>
      <c r="K77" s="9">
        <f>IF(OR($A77="",$F77="",$G77="",$H77=""),"",IFERROR(IF($G77=0,$F77/$H77,-PMT($G77/12,$H77,$F77)),""))</f>
        <v/>
      </c>
      <c r="L77" s="9">
        <f>IF($K77="","",IFERROR($K77+IF($I77="",0,$I77),""))</f>
        <v/>
      </c>
      <c r="M77" s="9">
        <f>IF($K77="","",IFERROR(MAX(0,$K77*$H77-$F77),""))</f>
        <v/>
      </c>
      <c r="N77" s="9">
        <f>IF($K77="","",IFERROR($K77*$H77,""))</f>
        <v/>
      </c>
      <c r="O77" s="19">
        <f>IF(OR($E77="",$H77=""),"",IFERROR(EDATE($E77,$H77-1),""))</f>
        <v/>
      </c>
      <c r="P77" s="8">
        <f>IF(OR($A77="",$E77="",$H77="",Assumptions!$B$4=""),"",IFERROR(IF(Assumptions!$B$4&lt;$E77,0,MIN($H77,(YEAR(Assumptions!$B$4)-YEAR($E77))*12+MONTH(Assumptions!$B$4)-MONTH($E77)+IF(DAY(Assumptions!$B$4)&gt;=DAY($E77),1,0))),""))</f>
        <v/>
      </c>
      <c r="Q77" s="9">
        <f>IF(OR($A77="",$F77="",$G77="",$H77="",$L77="",$P77=""),"",IF($J77="Paid",0,IFERROR(MAX(0,IF($G77=0,$F77-$L77*$P77,$F77*(1+$G77/12)^$P77-$L77*((1+$G77/12)^$P77-1)/($G77/12))),"")))</f>
        <v/>
      </c>
      <c r="R77" s="20">
        <f>IF($A77="","",IF(OR($D77="",$E77="",$F77="",$G77="",$H77="",$J77=""),"Check missing input",IF($E77&lt;$D77,"Check payment date",IF(COUNTIF($A$5:$A$104,$A77)&gt;1,"Duplicate loan ID",IF($G77&gt;Assumptions!$B$7,"Review APR input",IF(AND($J77="Active",$O77&lt;Assumptions!$B$4,$Q77&gt;Assumptions!$B$5),"Review past maturity",IF($J77="On Hold","Review on-hold loan","")))))))</f>
        <v/>
      </c>
    </row>
    <row r="78">
      <c r="A78" s="13" t="n"/>
      <c r="B78" s="14" t="n"/>
      <c r="C78" s="14" t="n"/>
      <c r="D78" s="15" t="n"/>
      <c r="E78" s="15" t="n"/>
      <c r="F78" s="16" t="n"/>
      <c r="G78" s="17" t="n"/>
      <c r="H78" s="18" t="n"/>
      <c r="I78" s="16" t="n"/>
      <c r="J78" s="13" t="n"/>
      <c r="K78" s="10">
        <f>IF(OR($A78="",$F78="",$G78="",$H78=""),"",IFERROR(IF($G78=0,$F78/$H78,-PMT($G78/12,$H78,$F78)),""))</f>
        <v/>
      </c>
      <c r="L78" s="10">
        <f>IF($K78="","",IFERROR($K78+IF($I78="",0,$I78),""))</f>
        <v/>
      </c>
      <c r="M78" s="10">
        <f>IF($K78="","",IFERROR(MAX(0,$K78*$H78-$F78),""))</f>
        <v/>
      </c>
      <c r="N78" s="10">
        <f>IF($K78="","",IFERROR($K78*$H78,""))</f>
        <v/>
      </c>
      <c r="O78" s="21">
        <f>IF(OR($E78="",$H78=""),"",IFERROR(EDATE($E78,$H78-1),""))</f>
        <v/>
      </c>
      <c r="P78" s="7">
        <f>IF(OR($A78="",$E78="",$H78="",Assumptions!$B$4=""),"",IFERROR(IF(Assumptions!$B$4&lt;$E78,0,MIN($H78,(YEAR(Assumptions!$B$4)-YEAR($E78))*12+MONTH(Assumptions!$B$4)-MONTH($E78)+IF(DAY(Assumptions!$B$4)&gt;=DAY($E78),1,0))),""))</f>
        <v/>
      </c>
      <c r="Q78" s="10">
        <f>IF(OR($A78="",$F78="",$G78="",$H78="",$L78="",$P78=""),"",IF($J78="Paid",0,IFERROR(MAX(0,IF($G78=0,$F78-$L78*$P78,$F78*(1+$G78/12)^$P78-$L78*((1+$G78/12)^$P78-1)/($G78/12))),"")))</f>
        <v/>
      </c>
      <c r="R78" s="22">
        <f>IF($A78="","",IF(OR($D78="",$E78="",$F78="",$G78="",$H78="",$J78=""),"Check missing input",IF($E78&lt;$D78,"Check payment date",IF(COUNTIF($A$5:$A$104,$A78)&gt;1,"Duplicate loan ID",IF($G78&gt;Assumptions!$B$7,"Review APR input",IF(AND($J78="Active",$O78&lt;Assumptions!$B$4,$Q78&gt;Assumptions!$B$5),"Review past maturity",IF($J78="On Hold","Review on-hold loan","")))))))</f>
        <v/>
      </c>
    </row>
    <row r="79">
      <c r="A79" s="13" t="n"/>
      <c r="B79" s="14" t="n"/>
      <c r="C79" s="14" t="n"/>
      <c r="D79" s="15" t="n"/>
      <c r="E79" s="15" t="n"/>
      <c r="F79" s="16" t="n"/>
      <c r="G79" s="17" t="n"/>
      <c r="H79" s="18" t="n"/>
      <c r="I79" s="16" t="n"/>
      <c r="J79" s="13" t="n"/>
      <c r="K79" s="9">
        <f>IF(OR($A79="",$F79="",$G79="",$H79=""),"",IFERROR(IF($G79=0,$F79/$H79,-PMT($G79/12,$H79,$F79)),""))</f>
        <v/>
      </c>
      <c r="L79" s="9">
        <f>IF($K79="","",IFERROR($K79+IF($I79="",0,$I79),""))</f>
        <v/>
      </c>
      <c r="M79" s="9">
        <f>IF($K79="","",IFERROR(MAX(0,$K79*$H79-$F79),""))</f>
        <v/>
      </c>
      <c r="N79" s="9">
        <f>IF($K79="","",IFERROR($K79*$H79,""))</f>
        <v/>
      </c>
      <c r="O79" s="19">
        <f>IF(OR($E79="",$H79=""),"",IFERROR(EDATE($E79,$H79-1),""))</f>
        <v/>
      </c>
      <c r="P79" s="8">
        <f>IF(OR($A79="",$E79="",$H79="",Assumptions!$B$4=""),"",IFERROR(IF(Assumptions!$B$4&lt;$E79,0,MIN($H79,(YEAR(Assumptions!$B$4)-YEAR($E79))*12+MONTH(Assumptions!$B$4)-MONTH($E79)+IF(DAY(Assumptions!$B$4)&gt;=DAY($E79),1,0))),""))</f>
        <v/>
      </c>
      <c r="Q79" s="9">
        <f>IF(OR($A79="",$F79="",$G79="",$H79="",$L79="",$P79=""),"",IF($J79="Paid",0,IFERROR(MAX(0,IF($G79=0,$F79-$L79*$P79,$F79*(1+$G79/12)^$P79-$L79*((1+$G79/12)^$P79-1)/($G79/12))),"")))</f>
        <v/>
      </c>
      <c r="R79" s="20">
        <f>IF($A79="","",IF(OR($D79="",$E79="",$F79="",$G79="",$H79="",$J79=""),"Check missing input",IF($E79&lt;$D79,"Check payment date",IF(COUNTIF($A$5:$A$104,$A79)&gt;1,"Duplicate loan ID",IF($G79&gt;Assumptions!$B$7,"Review APR input",IF(AND($J79="Active",$O79&lt;Assumptions!$B$4,$Q79&gt;Assumptions!$B$5),"Review past maturity",IF($J79="On Hold","Review on-hold loan","")))))))</f>
        <v/>
      </c>
    </row>
    <row r="80">
      <c r="A80" s="13" t="n"/>
      <c r="B80" s="14" t="n"/>
      <c r="C80" s="14" t="n"/>
      <c r="D80" s="15" t="n"/>
      <c r="E80" s="15" t="n"/>
      <c r="F80" s="16" t="n"/>
      <c r="G80" s="17" t="n"/>
      <c r="H80" s="18" t="n"/>
      <c r="I80" s="16" t="n"/>
      <c r="J80" s="13" t="n"/>
      <c r="K80" s="10">
        <f>IF(OR($A80="",$F80="",$G80="",$H80=""),"",IFERROR(IF($G80=0,$F80/$H80,-PMT($G80/12,$H80,$F80)),""))</f>
        <v/>
      </c>
      <c r="L80" s="10">
        <f>IF($K80="","",IFERROR($K80+IF($I80="",0,$I80),""))</f>
        <v/>
      </c>
      <c r="M80" s="10">
        <f>IF($K80="","",IFERROR(MAX(0,$K80*$H80-$F80),""))</f>
        <v/>
      </c>
      <c r="N80" s="10">
        <f>IF($K80="","",IFERROR($K80*$H80,""))</f>
        <v/>
      </c>
      <c r="O80" s="21">
        <f>IF(OR($E80="",$H80=""),"",IFERROR(EDATE($E80,$H80-1),""))</f>
        <v/>
      </c>
      <c r="P80" s="7">
        <f>IF(OR($A80="",$E80="",$H80="",Assumptions!$B$4=""),"",IFERROR(IF(Assumptions!$B$4&lt;$E80,0,MIN($H80,(YEAR(Assumptions!$B$4)-YEAR($E80))*12+MONTH(Assumptions!$B$4)-MONTH($E80)+IF(DAY(Assumptions!$B$4)&gt;=DAY($E80),1,0))),""))</f>
        <v/>
      </c>
      <c r="Q80" s="10">
        <f>IF(OR($A80="",$F80="",$G80="",$H80="",$L80="",$P80=""),"",IF($J80="Paid",0,IFERROR(MAX(0,IF($G80=0,$F80-$L80*$P80,$F80*(1+$G80/12)^$P80-$L80*((1+$G80/12)^$P80-1)/($G80/12))),"")))</f>
        <v/>
      </c>
      <c r="R80" s="22">
        <f>IF($A80="","",IF(OR($D80="",$E80="",$F80="",$G80="",$H80="",$J80=""),"Check missing input",IF($E80&lt;$D80,"Check payment date",IF(COUNTIF($A$5:$A$104,$A80)&gt;1,"Duplicate loan ID",IF($G80&gt;Assumptions!$B$7,"Review APR input",IF(AND($J80="Active",$O80&lt;Assumptions!$B$4,$Q80&gt;Assumptions!$B$5),"Review past maturity",IF($J80="On Hold","Review on-hold loan","")))))))</f>
        <v/>
      </c>
    </row>
    <row r="81">
      <c r="A81" s="13" t="n"/>
      <c r="B81" s="14" t="n"/>
      <c r="C81" s="14" t="n"/>
      <c r="D81" s="15" t="n"/>
      <c r="E81" s="15" t="n"/>
      <c r="F81" s="16" t="n"/>
      <c r="G81" s="17" t="n"/>
      <c r="H81" s="18" t="n"/>
      <c r="I81" s="16" t="n"/>
      <c r="J81" s="13" t="n"/>
      <c r="K81" s="9">
        <f>IF(OR($A81="",$F81="",$G81="",$H81=""),"",IFERROR(IF($G81=0,$F81/$H81,-PMT($G81/12,$H81,$F81)),""))</f>
        <v/>
      </c>
      <c r="L81" s="9">
        <f>IF($K81="","",IFERROR($K81+IF($I81="",0,$I81),""))</f>
        <v/>
      </c>
      <c r="M81" s="9">
        <f>IF($K81="","",IFERROR(MAX(0,$K81*$H81-$F81),""))</f>
        <v/>
      </c>
      <c r="N81" s="9">
        <f>IF($K81="","",IFERROR($K81*$H81,""))</f>
        <v/>
      </c>
      <c r="O81" s="19">
        <f>IF(OR($E81="",$H81=""),"",IFERROR(EDATE($E81,$H81-1),""))</f>
        <v/>
      </c>
      <c r="P81" s="8">
        <f>IF(OR($A81="",$E81="",$H81="",Assumptions!$B$4=""),"",IFERROR(IF(Assumptions!$B$4&lt;$E81,0,MIN($H81,(YEAR(Assumptions!$B$4)-YEAR($E81))*12+MONTH(Assumptions!$B$4)-MONTH($E81)+IF(DAY(Assumptions!$B$4)&gt;=DAY($E81),1,0))),""))</f>
        <v/>
      </c>
      <c r="Q81" s="9">
        <f>IF(OR($A81="",$F81="",$G81="",$H81="",$L81="",$P81=""),"",IF($J81="Paid",0,IFERROR(MAX(0,IF($G81=0,$F81-$L81*$P81,$F81*(1+$G81/12)^$P81-$L81*((1+$G81/12)^$P81-1)/($G81/12))),"")))</f>
        <v/>
      </c>
      <c r="R81" s="20">
        <f>IF($A81="","",IF(OR($D81="",$E81="",$F81="",$G81="",$H81="",$J81=""),"Check missing input",IF($E81&lt;$D81,"Check payment date",IF(COUNTIF($A$5:$A$104,$A81)&gt;1,"Duplicate loan ID",IF($G81&gt;Assumptions!$B$7,"Review APR input",IF(AND($J81="Active",$O81&lt;Assumptions!$B$4,$Q81&gt;Assumptions!$B$5),"Review past maturity",IF($J81="On Hold","Review on-hold loan","")))))))</f>
        <v/>
      </c>
    </row>
    <row r="82">
      <c r="A82" s="13" t="n"/>
      <c r="B82" s="14" t="n"/>
      <c r="C82" s="14" t="n"/>
      <c r="D82" s="15" t="n"/>
      <c r="E82" s="15" t="n"/>
      <c r="F82" s="16" t="n"/>
      <c r="G82" s="17" t="n"/>
      <c r="H82" s="18" t="n"/>
      <c r="I82" s="16" t="n"/>
      <c r="J82" s="13" t="n"/>
      <c r="K82" s="10">
        <f>IF(OR($A82="",$F82="",$G82="",$H82=""),"",IFERROR(IF($G82=0,$F82/$H82,-PMT($G82/12,$H82,$F82)),""))</f>
        <v/>
      </c>
      <c r="L82" s="10">
        <f>IF($K82="","",IFERROR($K82+IF($I82="",0,$I82),""))</f>
        <v/>
      </c>
      <c r="M82" s="10">
        <f>IF($K82="","",IFERROR(MAX(0,$K82*$H82-$F82),""))</f>
        <v/>
      </c>
      <c r="N82" s="10">
        <f>IF($K82="","",IFERROR($K82*$H82,""))</f>
        <v/>
      </c>
      <c r="O82" s="21">
        <f>IF(OR($E82="",$H82=""),"",IFERROR(EDATE($E82,$H82-1),""))</f>
        <v/>
      </c>
      <c r="P82" s="7">
        <f>IF(OR($A82="",$E82="",$H82="",Assumptions!$B$4=""),"",IFERROR(IF(Assumptions!$B$4&lt;$E82,0,MIN($H82,(YEAR(Assumptions!$B$4)-YEAR($E82))*12+MONTH(Assumptions!$B$4)-MONTH($E82)+IF(DAY(Assumptions!$B$4)&gt;=DAY($E82),1,0))),""))</f>
        <v/>
      </c>
      <c r="Q82" s="10">
        <f>IF(OR($A82="",$F82="",$G82="",$H82="",$L82="",$P82=""),"",IF($J82="Paid",0,IFERROR(MAX(0,IF($G82=0,$F82-$L82*$P82,$F82*(1+$G82/12)^$P82-$L82*((1+$G82/12)^$P82-1)/($G82/12))),"")))</f>
        <v/>
      </c>
      <c r="R82" s="22">
        <f>IF($A82="","",IF(OR($D82="",$E82="",$F82="",$G82="",$H82="",$J82=""),"Check missing input",IF($E82&lt;$D82,"Check payment date",IF(COUNTIF($A$5:$A$104,$A82)&gt;1,"Duplicate loan ID",IF($G82&gt;Assumptions!$B$7,"Review APR input",IF(AND($J82="Active",$O82&lt;Assumptions!$B$4,$Q82&gt;Assumptions!$B$5),"Review past maturity",IF($J82="On Hold","Review on-hold loan","")))))))</f>
        <v/>
      </c>
    </row>
    <row r="83">
      <c r="A83" s="13" t="n"/>
      <c r="B83" s="14" t="n"/>
      <c r="C83" s="14" t="n"/>
      <c r="D83" s="15" t="n"/>
      <c r="E83" s="15" t="n"/>
      <c r="F83" s="16" t="n"/>
      <c r="G83" s="17" t="n"/>
      <c r="H83" s="18" t="n"/>
      <c r="I83" s="16" t="n"/>
      <c r="J83" s="13" t="n"/>
      <c r="K83" s="9">
        <f>IF(OR($A83="",$F83="",$G83="",$H83=""),"",IFERROR(IF($G83=0,$F83/$H83,-PMT($G83/12,$H83,$F83)),""))</f>
        <v/>
      </c>
      <c r="L83" s="9">
        <f>IF($K83="","",IFERROR($K83+IF($I83="",0,$I83),""))</f>
        <v/>
      </c>
      <c r="M83" s="9">
        <f>IF($K83="","",IFERROR(MAX(0,$K83*$H83-$F83),""))</f>
        <v/>
      </c>
      <c r="N83" s="9">
        <f>IF($K83="","",IFERROR($K83*$H83,""))</f>
        <v/>
      </c>
      <c r="O83" s="19">
        <f>IF(OR($E83="",$H83=""),"",IFERROR(EDATE($E83,$H83-1),""))</f>
        <v/>
      </c>
      <c r="P83" s="8">
        <f>IF(OR($A83="",$E83="",$H83="",Assumptions!$B$4=""),"",IFERROR(IF(Assumptions!$B$4&lt;$E83,0,MIN($H83,(YEAR(Assumptions!$B$4)-YEAR($E83))*12+MONTH(Assumptions!$B$4)-MONTH($E83)+IF(DAY(Assumptions!$B$4)&gt;=DAY($E83),1,0))),""))</f>
        <v/>
      </c>
      <c r="Q83" s="9">
        <f>IF(OR($A83="",$F83="",$G83="",$H83="",$L83="",$P83=""),"",IF($J83="Paid",0,IFERROR(MAX(0,IF($G83=0,$F83-$L83*$P83,$F83*(1+$G83/12)^$P83-$L83*((1+$G83/12)^$P83-1)/($G83/12))),"")))</f>
        <v/>
      </c>
      <c r="R83" s="20">
        <f>IF($A83="","",IF(OR($D83="",$E83="",$F83="",$G83="",$H83="",$J83=""),"Check missing input",IF($E83&lt;$D83,"Check payment date",IF(COUNTIF($A$5:$A$104,$A83)&gt;1,"Duplicate loan ID",IF($G83&gt;Assumptions!$B$7,"Review APR input",IF(AND($J83="Active",$O83&lt;Assumptions!$B$4,$Q83&gt;Assumptions!$B$5),"Review past maturity",IF($J83="On Hold","Review on-hold loan","")))))))</f>
        <v/>
      </c>
    </row>
    <row r="84">
      <c r="A84" s="13" t="n"/>
      <c r="B84" s="14" t="n"/>
      <c r="C84" s="14" t="n"/>
      <c r="D84" s="15" t="n"/>
      <c r="E84" s="15" t="n"/>
      <c r="F84" s="16" t="n"/>
      <c r="G84" s="17" t="n"/>
      <c r="H84" s="18" t="n"/>
      <c r="I84" s="16" t="n"/>
      <c r="J84" s="13" t="n"/>
      <c r="K84" s="10">
        <f>IF(OR($A84="",$F84="",$G84="",$H84=""),"",IFERROR(IF($G84=0,$F84/$H84,-PMT($G84/12,$H84,$F84)),""))</f>
        <v/>
      </c>
      <c r="L84" s="10">
        <f>IF($K84="","",IFERROR($K84+IF($I84="",0,$I84),""))</f>
        <v/>
      </c>
      <c r="M84" s="10">
        <f>IF($K84="","",IFERROR(MAX(0,$K84*$H84-$F84),""))</f>
        <v/>
      </c>
      <c r="N84" s="10">
        <f>IF($K84="","",IFERROR($K84*$H84,""))</f>
        <v/>
      </c>
      <c r="O84" s="21">
        <f>IF(OR($E84="",$H84=""),"",IFERROR(EDATE($E84,$H84-1),""))</f>
        <v/>
      </c>
      <c r="P84" s="7">
        <f>IF(OR($A84="",$E84="",$H84="",Assumptions!$B$4=""),"",IFERROR(IF(Assumptions!$B$4&lt;$E84,0,MIN($H84,(YEAR(Assumptions!$B$4)-YEAR($E84))*12+MONTH(Assumptions!$B$4)-MONTH($E84)+IF(DAY(Assumptions!$B$4)&gt;=DAY($E84),1,0))),""))</f>
        <v/>
      </c>
      <c r="Q84" s="10">
        <f>IF(OR($A84="",$F84="",$G84="",$H84="",$L84="",$P84=""),"",IF($J84="Paid",0,IFERROR(MAX(0,IF($G84=0,$F84-$L84*$P84,$F84*(1+$G84/12)^$P84-$L84*((1+$G84/12)^$P84-1)/($G84/12))),"")))</f>
        <v/>
      </c>
      <c r="R84" s="22">
        <f>IF($A84="","",IF(OR($D84="",$E84="",$F84="",$G84="",$H84="",$J84=""),"Check missing input",IF($E84&lt;$D84,"Check payment date",IF(COUNTIF($A$5:$A$104,$A84)&gt;1,"Duplicate loan ID",IF($G84&gt;Assumptions!$B$7,"Review APR input",IF(AND($J84="Active",$O84&lt;Assumptions!$B$4,$Q84&gt;Assumptions!$B$5),"Review past maturity",IF($J84="On Hold","Review on-hold loan","")))))))</f>
        <v/>
      </c>
    </row>
    <row r="85">
      <c r="A85" s="13" t="n"/>
      <c r="B85" s="14" t="n"/>
      <c r="C85" s="14" t="n"/>
      <c r="D85" s="15" t="n"/>
      <c r="E85" s="15" t="n"/>
      <c r="F85" s="16" t="n"/>
      <c r="G85" s="17" t="n"/>
      <c r="H85" s="18" t="n"/>
      <c r="I85" s="16" t="n"/>
      <c r="J85" s="13" t="n"/>
      <c r="K85" s="9">
        <f>IF(OR($A85="",$F85="",$G85="",$H85=""),"",IFERROR(IF($G85=0,$F85/$H85,-PMT($G85/12,$H85,$F85)),""))</f>
        <v/>
      </c>
      <c r="L85" s="9">
        <f>IF($K85="","",IFERROR($K85+IF($I85="",0,$I85),""))</f>
        <v/>
      </c>
      <c r="M85" s="9">
        <f>IF($K85="","",IFERROR(MAX(0,$K85*$H85-$F85),""))</f>
        <v/>
      </c>
      <c r="N85" s="9">
        <f>IF($K85="","",IFERROR($K85*$H85,""))</f>
        <v/>
      </c>
      <c r="O85" s="19">
        <f>IF(OR($E85="",$H85=""),"",IFERROR(EDATE($E85,$H85-1),""))</f>
        <v/>
      </c>
      <c r="P85" s="8">
        <f>IF(OR($A85="",$E85="",$H85="",Assumptions!$B$4=""),"",IFERROR(IF(Assumptions!$B$4&lt;$E85,0,MIN($H85,(YEAR(Assumptions!$B$4)-YEAR($E85))*12+MONTH(Assumptions!$B$4)-MONTH($E85)+IF(DAY(Assumptions!$B$4)&gt;=DAY($E85),1,0))),""))</f>
        <v/>
      </c>
      <c r="Q85" s="9">
        <f>IF(OR($A85="",$F85="",$G85="",$H85="",$L85="",$P85=""),"",IF($J85="Paid",0,IFERROR(MAX(0,IF($G85=0,$F85-$L85*$P85,$F85*(1+$G85/12)^$P85-$L85*((1+$G85/12)^$P85-1)/($G85/12))),"")))</f>
        <v/>
      </c>
      <c r="R85" s="20">
        <f>IF($A85="","",IF(OR($D85="",$E85="",$F85="",$G85="",$H85="",$J85=""),"Check missing input",IF($E85&lt;$D85,"Check payment date",IF(COUNTIF($A$5:$A$104,$A85)&gt;1,"Duplicate loan ID",IF($G85&gt;Assumptions!$B$7,"Review APR input",IF(AND($J85="Active",$O85&lt;Assumptions!$B$4,$Q85&gt;Assumptions!$B$5),"Review past maturity",IF($J85="On Hold","Review on-hold loan","")))))))</f>
        <v/>
      </c>
    </row>
    <row r="86">
      <c r="A86" s="13" t="n"/>
      <c r="B86" s="14" t="n"/>
      <c r="C86" s="14" t="n"/>
      <c r="D86" s="15" t="n"/>
      <c r="E86" s="15" t="n"/>
      <c r="F86" s="16" t="n"/>
      <c r="G86" s="17" t="n"/>
      <c r="H86" s="18" t="n"/>
      <c r="I86" s="16" t="n"/>
      <c r="J86" s="13" t="n"/>
      <c r="K86" s="10">
        <f>IF(OR($A86="",$F86="",$G86="",$H86=""),"",IFERROR(IF($G86=0,$F86/$H86,-PMT($G86/12,$H86,$F86)),""))</f>
        <v/>
      </c>
      <c r="L86" s="10">
        <f>IF($K86="","",IFERROR($K86+IF($I86="",0,$I86),""))</f>
        <v/>
      </c>
      <c r="M86" s="10">
        <f>IF($K86="","",IFERROR(MAX(0,$K86*$H86-$F86),""))</f>
        <v/>
      </c>
      <c r="N86" s="10">
        <f>IF($K86="","",IFERROR($K86*$H86,""))</f>
        <v/>
      </c>
      <c r="O86" s="21">
        <f>IF(OR($E86="",$H86=""),"",IFERROR(EDATE($E86,$H86-1),""))</f>
        <v/>
      </c>
      <c r="P86" s="7">
        <f>IF(OR($A86="",$E86="",$H86="",Assumptions!$B$4=""),"",IFERROR(IF(Assumptions!$B$4&lt;$E86,0,MIN($H86,(YEAR(Assumptions!$B$4)-YEAR($E86))*12+MONTH(Assumptions!$B$4)-MONTH($E86)+IF(DAY(Assumptions!$B$4)&gt;=DAY($E86),1,0))),""))</f>
        <v/>
      </c>
      <c r="Q86" s="10">
        <f>IF(OR($A86="",$F86="",$G86="",$H86="",$L86="",$P86=""),"",IF($J86="Paid",0,IFERROR(MAX(0,IF($G86=0,$F86-$L86*$P86,$F86*(1+$G86/12)^$P86-$L86*((1+$G86/12)^$P86-1)/($G86/12))),"")))</f>
        <v/>
      </c>
      <c r="R86" s="22">
        <f>IF($A86="","",IF(OR($D86="",$E86="",$F86="",$G86="",$H86="",$J86=""),"Check missing input",IF($E86&lt;$D86,"Check payment date",IF(COUNTIF($A$5:$A$104,$A86)&gt;1,"Duplicate loan ID",IF($G86&gt;Assumptions!$B$7,"Review APR input",IF(AND($J86="Active",$O86&lt;Assumptions!$B$4,$Q86&gt;Assumptions!$B$5),"Review past maturity",IF($J86="On Hold","Review on-hold loan","")))))))</f>
        <v/>
      </c>
    </row>
    <row r="87">
      <c r="A87" s="13" t="n"/>
      <c r="B87" s="14" t="n"/>
      <c r="C87" s="14" t="n"/>
      <c r="D87" s="15" t="n"/>
      <c r="E87" s="15" t="n"/>
      <c r="F87" s="16" t="n"/>
      <c r="G87" s="17" t="n"/>
      <c r="H87" s="18" t="n"/>
      <c r="I87" s="16" t="n"/>
      <c r="J87" s="13" t="n"/>
      <c r="K87" s="9">
        <f>IF(OR($A87="",$F87="",$G87="",$H87=""),"",IFERROR(IF($G87=0,$F87/$H87,-PMT($G87/12,$H87,$F87)),""))</f>
        <v/>
      </c>
      <c r="L87" s="9">
        <f>IF($K87="","",IFERROR($K87+IF($I87="",0,$I87),""))</f>
        <v/>
      </c>
      <c r="M87" s="9">
        <f>IF($K87="","",IFERROR(MAX(0,$K87*$H87-$F87),""))</f>
        <v/>
      </c>
      <c r="N87" s="9">
        <f>IF($K87="","",IFERROR($K87*$H87,""))</f>
        <v/>
      </c>
      <c r="O87" s="19">
        <f>IF(OR($E87="",$H87=""),"",IFERROR(EDATE($E87,$H87-1),""))</f>
        <v/>
      </c>
      <c r="P87" s="8">
        <f>IF(OR($A87="",$E87="",$H87="",Assumptions!$B$4=""),"",IFERROR(IF(Assumptions!$B$4&lt;$E87,0,MIN($H87,(YEAR(Assumptions!$B$4)-YEAR($E87))*12+MONTH(Assumptions!$B$4)-MONTH($E87)+IF(DAY(Assumptions!$B$4)&gt;=DAY($E87),1,0))),""))</f>
        <v/>
      </c>
      <c r="Q87" s="9">
        <f>IF(OR($A87="",$F87="",$G87="",$H87="",$L87="",$P87=""),"",IF($J87="Paid",0,IFERROR(MAX(0,IF($G87=0,$F87-$L87*$P87,$F87*(1+$G87/12)^$P87-$L87*((1+$G87/12)^$P87-1)/($G87/12))),"")))</f>
        <v/>
      </c>
      <c r="R87" s="20">
        <f>IF($A87="","",IF(OR($D87="",$E87="",$F87="",$G87="",$H87="",$J87=""),"Check missing input",IF($E87&lt;$D87,"Check payment date",IF(COUNTIF($A$5:$A$104,$A87)&gt;1,"Duplicate loan ID",IF($G87&gt;Assumptions!$B$7,"Review APR input",IF(AND($J87="Active",$O87&lt;Assumptions!$B$4,$Q87&gt;Assumptions!$B$5),"Review past maturity",IF($J87="On Hold","Review on-hold loan","")))))))</f>
        <v/>
      </c>
    </row>
    <row r="88">
      <c r="A88" s="13" t="n"/>
      <c r="B88" s="14" t="n"/>
      <c r="C88" s="14" t="n"/>
      <c r="D88" s="15" t="n"/>
      <c r="E88" s="15" t="n"/>
      <c r="F88" s="16" t="n"/>
      <c r="G88" s="17" t="n"/>
      <c r="H88" s="18" t="n"/>
      <c r="I88" s="16" t="n"/>
      <c r="J88" s="13" t="n"/>
      <c r="K88" s="10">
        <f>IF(OR($A88="",$F88="",$G88="",$H88=""),"",IFERROR(IF($G88=0,$F88/$H88,-PMT($G88/12,$H88,$F88)),""))</f>
        <v/>
      </c>
      <c r="L88" s="10">
        <f>IF($K88="","",IFERROR($K88+IF($I88="",0,$I88),""))</f>
        <v/>
      </c>
      <c r="M88" s="10">
        <f>IF($K88="","",IFERROR(MAX(0,$K88*$H88-$F88),""))</f>
        <v/>
      </c>
      <c r="N88" s="10">
        <f>IF($K88="","",IFERROR($K88*$H88,""))</f>
        <v/>
      </c>
      <c r="O88" s="21">
        <f>IF(OR($E88="",$H88=""),"",IFERROR(EDATE($E88,$H88-1),""))</f>
        <v/>
      </c>
      <c r="P88" s="7">
        <f>IF(OR($A88="",$E88="",$H88="",Assumptions!$B$4=""),"",IFERROR(IF(Assumptions!$B$4&lt;$E88,0,MIN($H88,(YEAR(Assumptions!$B$4)-YEAR($E88))*12+MONTH(Assumptions!$B$4)-MONTH($E88)+IF(DAY(Assumptions!$B$4)&gt;=DAY($E88),1,0))),""))</f>
        <v/>
      </c>
      <c r="Q88" s="10">
        <f>IF(OR($A88="",$F88="",$G88="",$H88="",$L88="",$P88=""),"",IF($J88="Paid",0,IFERROR(MAX(0,IF($G88=0,$F88-$L88*$P88,$F88*(1+$G88/12)^$P88-$L88*((1+$G88/12)^$P88-1)/($G88/12))),"")))</f>
        <v/>
      </c>
      <c r="R88" s="22">
        <f>IF($A88="","",IF(OR($D88="",$E88="",$F88="",$G88="",$H88="",$J88=""),"Check missing input",IF($E88&lt;$D88,"Check payment date",IF(COUNTIF($A$5:$A$104,$A88)&gt;1,"Duplicate loan ID",IF($G88&gt;Assumptions!$B$7,"Review APR input",IF(AND($J88="Active",$O88&lt;Assumptions!$B$4,$Q88&gt;Assumptions!$B$5),"Review past maturity",IF($J88="On Hold","Review on-hold loan","")))))))</f>
        <v/>
      </c>
    </row>
    <row r="89">
      <c r="A89" s="13" t="n"/>
      <c r="B89" s="14" t="n"/>
      <c r="C89" s="14" t="n"/>
      <c r="D89" s="15" t="n"/>
      <c r="E89" s="15" t="n"/>
      <c r="F89" s="16" t="n"/>
      <c r="G89" s="17" t="n"/>
      <c r="H89" s="18" t="n"/>
      <c r="I89" s="16" t="n"/>
      <c r="J89" s="13" t="n"/>
      <c r="K89" s="9">
        <f>IF(OR($A89="",$F89="",$G89="",$H89=""),"",IFERROR(IF($G89=0,$F89/$H89,-PMT($G89/12,$H89,$F89)),""))</f>
        <v/>
      </c>
      <c r="L89" s="9">
        <f>IF($K89="","",IFERROR($K89+IF($I89="",0,$I89),""))</f>
        <v/>
      </c>
      <c r="M89" s="9">
        <f>IF($K89="","",IFERROR(MAX(0,$K89*$H89-$F89),""))</f>
        <v/>
      </c>
      <c r="N89" s="9">
        <f>IF($K89="","",IFERROR($K89*$H89,""))</f>
        <v/>
      </c>
      <c r="O89" s="19">
        <f>IF(OR($E89="",$H89=""),"",IFERROR(EDATE($E89,$H89-1),""))</f>
        <v/>
      </c>
      <c r="P89" s="8">
        <f>IF(OR($A89="",$E89="",$H89="",Assumptions!$B$4=""),"",IFERROR(IF(Assumptions!$B$4&lt;$E89,0,MIN($H89,(YEAR(Assumptions!$B$4)-YEAR($E89))*12+MONTH(Assumptions!$B$4)-MONTH($E89)+IF(DAY(Assumptions!$B$4)&gt;=DAY($E89),1,0))),""))</f>
        <v/>
      </c>
      <c r="Q89" s="9">
        <f>IF(OR($A89="",$F89="",$G89="",$H89="",$L89="",$P89=""),"",IF($J89="Paid",0,IFERROR(MAX(0,IF($G89=0,$F89-$L89*$P89,$F89*(1+$G89/12)^$P89-$L89*((1+$G89/12)^$P89-1)/($G89/12))),"")))</f>
        <v/>
      </c>
      <c r="R89" s="20">
        <f>IF($A89="","",IF(OR($D89="",$E89="",$F89="",$G89="",$H89="",$J89=""),"Check missing input",IF($E89&lt;$D89,"Check payment date",IF(COUNTIF($A$5:$A$104,$A89)&gt;1,"Duplicate loan ID",IF($G89&gt;Assumptions!$B$7,"Review APR input",IF(AND($J89="Active",$O89&lt;Assumptions!$B$4,$Q89&gt;Assumptions!$B$5),"Review past maturity",IF($J89="On Hold","Review on-hold loan","")))))))</f>
        <v/>
      </c>
    </row>
    <row r="90">
      <c r="A90" s="13" t="n"/>
      <c r="B90" s="14" t="n"/>
      <c r="C90" s="14" t="n"/>
      <c r="D90" s="15" t="n"/>
      <c r="E90" s="15" t="n"/>
      <c r="F90" s="16" t="n"/>
      <c r="G90" s="17" t="n"/>
      <c r="H90" s="18" t="n"/>
      <c r="I90" s="16" t="n"/>
      <c r="J90" s="13" t="n"/>
      <c r="K90" s="10">
        <f>IF(OR($A90="",$F90="",$G90="",$H90=""),"",IFERROR(IF($G90=0,$F90/$H90,-PMT($G90/12,$H90,$F90)),""))</f>
        <v/>
      </c>
      <c r="L90" s="10">
        <f>IF($K90="","",IFERROR($K90+IF($I90="",0,$I90),""))</f>
        <v/>
      </c>
      <c r="M90" s="10">
        <f>IF($K90="","",IFERROR(MAX(0,$K90*$H90-$F90),""))</f>
        <v/>
      </c>
      <c r="N90" s="10">
        <f>IF($K90="","",IFERROR($K90*$H90,""))</f>
        <v/>
      </c>
      <c r="O90" s="21">
        <f>IF(OR($E90="",$H90=""),"",IFERROR(EDATE($E90,$H90-1),""))</f>
        <v/>
      </c>
      <c r="P90" s="7">
        <f>IF(OR($A90="",$E90="",$H90="",Assumptions!$B$4=""),"",IFERROR(IF(Assumptions!$B$4&lt;$E90,0,MIN($H90,(YEAR(Assumptions!$B$4)-YEAR($E90))*12+MONTH(Assumptions!$B$4)-MONTH($E90)+IF(DAY(Assumptions!$B$4)&gt;=DAY($E90),1,0))),""))</f>
        <v/>
      </c>
      <c r="Q90" s="10">
        <f>IF(OR($A90="",$F90="",$G90="",$H90="",$L90="",$P90=""),"",IF($J90="Paid",0,IFERROR(MAX(0,IF($G90=0,$F90-$L90*$P90,$F90*(1+$G90/12)^$P90-$L90*((1+$G90/12)^$P90-1)/($G90/12))),"")))</f>
        <v/>
      </c>
      <c r="R90" s="22">
        <f>IF($A90="","",IF(OR($D90="",$E90="",$F90="",$G90="",$H90="",$J90=""),"Check missing input",IF($E90&lt;$D90,"Check payment date",IF(COUNTIF($A$5:$A$104,$A90)&gt;1,"Duplicate loan ID",IF($G90&gt;Assumptions!$B$7,"Review APR input",IF(AND($J90="Active",$O90&lt;Assumptions!$B$4,$Q90&gt;Assumptions!$B$5),"Review past maturity",IF($J90="On Hold","Review on-hold loan","")))))))</f>
        <v/>
      </c>
    </row>
    <row r="91">
      <c r="A91" s="13" t="n"/>
      <c r="B91" s="14" t="n"/>
      <c r="C91" s="14" t="n"/>
      <c r="D91" s="15" t="n"/>
      <c r="E91" s="15" t="n"/>
      <c r="F91" s="16" t="n"/>
      <c r="G91" s="17" t="n"/>
      <c r="H91" s="18" t="n"/>
      <c r="I91" s="16" t="n"/>
      <c r="J91" s="13" t="n"/>
      <c r="K91" s="9">
        <f>IF(OR($A91="",$F91="",$G91="",$H91=""),"",IFERROR(IF($G91=0,$F91/$H91,-PMT($G91/12,$H91,$F91)),""))</f>
        <v/>
      </c>
      <c r="L91" s="9">
        <f>IF($K91="","",IFERROR($K91+IF($I91="",0,$I91),""))</f>
        <v/>
      </c>
      <c r="M91" s="9">
        <f>IF($K91="","",IFERROR(MAX(0,$K91*$H91-$F91),""))</f>
        <v/>
      </c>
      <c r="N91" s="9">
        <f>IF($K91="","",IFERROR($K91*$H91,""))</f>
        <v/>
      </c>
      <c r="O91" s="19">
        <f>IF(OR($E91="",$H91=""),"",IFERROR(EDATE($E91,$H91-1),""))</f>
        <v/>
      </c>
      <c r="P91" s="8">
        <f>IF(OR($A91="",$E91="",$H91="",Assumptions!$B$4=""),"",IFERROR(IF(Assumptions!$B$4&lt;$E91,0,MIN($H91,(YEAR(Assumptions!$B$4)-YEAR($E91))*12+MONTH(Assumptions!$B$4)-MONTH($E91)+IF(DAY(Assumptions!$B$4)&gt;=DAY($E91),1,0))),""))</f>
        <v/>
      </c>
      <c r="Q91" s="9">
        <f>IF(OR($A91="",$F91="",$G91="",$H91="",$L91="",$P91=""),"",IF($J91="Paid",0,IFERROR(MAX(0,IF($G91=0,$F91-$L91*$P91,$F91*(1+$G91/12)^$P91-$L91*((1+$G91/12)^$P91-1)/($G91/12))),"")))</f>
        <v/>
      </c>
      <c r="R91" s="20">
        <f>IF($A91="","",IF(OR($D91="",$E91="",$F91="",$G91="",$H91="",$J91=""),"Check missing input",IF($E91&lt;$D91,"Check payment date",IF(COUNTIF($A$5:$A$104,$A91)&gt;1,"Duplicate loan ID",IF($G91&gt;Assumptions!$B$7,"Review APR input",IF(AND($J91="Active",$O91&lt;Assumptions!$B$4,$Q91&gt;Assumptions!$B$5),"Review past maturity",IF($J91="On Hold","Review on-hold loan","")))))))</f>
        <v/>
      </c>
    </row>
    <row r="92">
      <c r="A92" s="13" t="n"/>
      <c r="B92" s="14" t="n"/>
      <c r="C92" s="14" t="n"/>
      <c r="D92" s="15" t="n"/>
      <c r="E92" s="15" t="n"/>
      <c r="F92" s="16" t="n"/>
      <c r="G92" s="17" t="n"/>
      <c r="H92" s="18" t="n"/>
      <c r="I92" s="16" t="n"/>
      <c r="J92" s="13" t="n"/>
      <c r="K92" s="10">
        <f>IF(OR($A92="",$F92="",$G92="",$H92=""),"",IFERROR(IF($G92=0,$F92/$H92,-PMT($G92/12,$H92,$F92)),""))</f>
        <v/>
      </c>
      <c r="L92" s="10">
        <f>IF($K92="","",IFERROR($K92+IF($I92="",0,$I92),""))</f>
        <v/>
      </c>
      <c r="M92" s="10">
        <f>IF($K92="","",IFERROR(MAX(0,$K92*$H92-$F92),""))</f>
        <v/>
      </c>
      <c r="N92" s="10">
        <f>IF($K92="","",IFERROR($K92*$H92,""))</f>
        <v/>
      </c>
      <c r="O92" s="21">
        <f>IF(OR($E92="",$H92=""),"",IFERROR(EDATE($E92,$H92-1),""))</f>
        <v/>
      </c>
      <c r="P92" s="7">
        <f>IF(OR($A92="",$E92="",$H92="",Assumptions!$B$4=""),"",IFERROR(IF(Assumptions!$B$4&lt;$E92,0,MIN($H92,(YEAR(Assumptions!$B$4)-YEAR($E92))*12+MONTH(Assumptions!$B$4)-MONTH($E92)+IF(DAY(Assumptions!$B$4)&gt;=DAY($E92),1,0))),""))</f>
        <v/>
      </c>
      <c r="Q92" s="10">
        <f>IF(OR($A92="",$F92="",$G92="",$H92="",$L92="",$P92=""),"",IF($J92="Paid",0,IFERROR(MAX(0,IF($G92=0,$F92-$L92*$P92,$F92*(1+$G92/12)^$P92-$L92*((1+$G92/12)^$P92-1)/($G92/12))),"")))</f>
        <v/>
      </c>
      <c r="R92" s="22">
        <f>IF($A92="","",IF(OR($D92="",$E92="",$F92="",$G92="",$H92="",$J92=""),"Check missing input",IF($E92&lt;$D92,"Check payment date",IF(COUNTIF($A$5:$A$104,$A92)&gt;1,"Duplicate loan ID",IF($G92&gt;Assumptions!$B$7,"Review APR input",IF(AND($J92="Active",$O92&lt;Assumptions!$B$4,$Q92&gt;Assumptions!$B$5),"Review past maturity",IF($J92="On Hold","Review on-hold loan","")))))))</f>
        <v/>
      </c>
    </row>
    <row r="93">
      <c r="A93" s="13" t="n"/>
      <c r="B93" s="14" t="n"/>
      <c r="C93" s="14" t="n"/>
      <c r="D93" s="15" t="n"/>
      <c r="E93" s="15" t="n"/>
      <c r="F93" s="16" t="n"/>
      <c r="G93" s="17" t="n"/>
      <c r="H93" s="18" t="n"/>
      <c r="I93" s="16" t="n"/>
      <c r="J93" s="13" t="n"/>
      <c r="K93" s="9">
        <f>IF(OR($A93="",$F93="",$G93="",$H93=""),"",IFERROR(IF($G93=0,$F93/$H93,-PMT($G93/12,$H93,$F93)),""))</f>
        <v/>
      </c>
      <c r="L93" s="9">
        <f>IF($K93="","",IFERROR($K93+IF($I93="",0,$I93),""))</f>
        <v/>
      </c>
      <c r="M93" s="9">
        <f>IF($K93="","",IFERROR(MAX(0,$K93*$H93-$F93),""))</f>
        <v/>
      </c>
      <c r="N93" s="9">
        <f>IF($K93="","",IFERROR($K93*$H93,""))</f>
        <v/>
      </c>
      <c r="O93" s="19">
        <f>IF(OR($E93="",$H93=""),"",IFERROR(EDATE($E93,$H93-1),""))</f>
        <v/>
      </c>
      <c r="P93" s="8">
        <f>IF(OR($A93="",$E93="",$H93="",Assumptions!$B$4=""),"",IFERROR(IF(Assumptions!$B$4&lt;$E93,0,MIN($H93,(YEAR(Assumptions!$B$4)-YEAR($E93))*12+MONTH(Assumptions!$B$4)-MONTH($E93)+IF(DAY(Assumptions!$B$4)&gt;=DAY($E93),1,0))),""))</f>
        <v/>
      </c>
      <c r="Q93" s="9">
        <f>IF(OR($A93="",$F93="",$G93="",$H93="",$L93="",$P93=""),"",IF($J93="Paid",0,IFERROR(MAX(0,IF($G93=0,$F93-$L93*$P93,$F93*(1+$G93/12)^$P93-$L93*((1+$G93/12)^$P93-1)/($G93/12))),"")))</f>
        <v/>
      </c>
      <c r="R93" s="20">
        <f>IF($A93="","",IF(OR($D93="",$E93="",$F93="",$G93="",$H93="",$J93=""),"Check missing input",IF($E93&lt;$D93,"Check payment date",IF(COUNTIF($A$5:$A$104,$A93)&gt;1,"Duplicate loan ID",IF($G93&gt;Assumptions!$B$7,"Review APR input",IF(AND($J93="Active",$O93&lt;Assumptions!$B$4,$Q93&gt;Assumptions!$B$5),"Review past maturity",IF($J93="On Hold","Review on-hold loan","")))))))</f>
        <v/>
      </c>
    </row>
    <row r="94">
      <c r="A94" s="13" t="n"/>
      <c r="B94" s="14" t="n"/>
      <c r="C94" s="14" t="n"/>
      <c r="D94" s="15" t="n"/>
      <c r="E94" s="15" t="n"/>
      <c r="F94" s="16" t="n"/>
      <c r="G94" s="17" t="n"/>
      <c r="H94" s="18" t="n"/>
      <c r="I94" s="16" t="n"/>
      <c r="J94" s="13" t="n"/>
      <c r="K94" s="10">
        <f>IF(OR($A94="",$F94="",$G94="",$H94=""),"",IFERROR(IF($G94=0,$F94/$H94,-PMT($G94/12,$H94,$F94)),""))</f>
        <v/>
      </c>
      <c r="L94" s="10">
        <f>IF($K94="","",IFERROR($K94+IF($I94="",0,$I94),""))</f>
        <v/>
      </c>
      <c r="M94" s="10">
        <f>IF($K94="","",IFERROR(MAX(0,$K94*$H94-$F94),""))</f>
        <v/>
      </c>
      <c r="N94" s="10">
        <f>IF($K94="","",IFERROR($K94*$H94,""))</f>
        <v/>
      </c>
      <c r="O94" s="21">
        <f>IF(OR($E94="",$H94=""),"",IFERROR(EDATE($E94,$H94-1),""))</f>
        <v/>
      </c>
      <c r="P94" s="7">
        <f>IF(OR($A94="",$E94="",$H94="",Assumptions!$B$4=""),"",IFERROR(IF(Assumptions!$B$4&lt;$E94,0,MIN($H94,(YEAR(Assumptions!$B$4)-YEAR($E94))*12+MONTH(Assumptions!$B$4)-MONTH($E94)+IF(DAY(Assumptions!$B$4)&gt;=DAY($E94),1,0))),""))</f>
        <v/>
      </c>
      <c r="Q94" s="10">
        <f>IF(OR($A94="",$F94="",$G94="",$H94="",$L94="",$P94=""),"",IF($J94="Paid",0,IFERROR(MAX(0,IF($G94=0,$F94-$L94*$P94,$F94*(1+$G94/12)^$P94-$L94*((1+$G94/12)^$P94-1)/($G94/12))),"")))</f>
        <v/>
      </c>
      <c r="R94" s="22">
        <f>IF($A94="","",IF(OR($D94="",$E94="",$F94="",$G94="",$H94="",$J94=""),"Check missing input",IF($E94&lt;$D94,"Check payment date",IF(COUNTIF($A$5:$A$104,$A94)&gt;1,"Duplicate loan ID",IF($G94&gt;Assumptions!$B$7,"Review APR input",IF(AND($J94="Active",$O94&lt;Assumptions!$B$4,$Q94&gt;Assumptions!$B$5),"Review past maturity",IF($J94="On Hold","Review on-hold loan","")))))))</f>
        <v/>
      </c>
    </row>
    <row r="95">
      <c r="A95" s="13" t="n"/>
      <c r="B95" s="14" t="n"/>
      <c r="C95" s="14" t="n"/>
      <c r="D95" s="15" t="n"/>
      <c r="E95" s="15" t="n"/>
      <c r="F95" s="16" t="n"/>
      <c r="G95" s="17" t="n"/>
      <c r="H95" s="18" t="n"/>
      <c r="I95" s="16" t="n"/>
      <c r="J95" s="13" t="n"/>
      <c r="K95" s="9">
        <f>IF(OR($A95="",$F95="",$G95="",$H95=""),"",IFERROR(IF($G95=0,$F95/$H95,-PMT($G95/12,$H95,$F95)),""))</f>
        <v/>
      </c>
      <c r="L95" s="9">
        <f>IF($K95="","",IFERROR($K95+IF($I95="",0,$I95),""))</f>
        <v/>
      </c>
      <c r="M95" s="9">
        <f>IF($K95="","",IFERROR(MAX(0,$K95*$H95-$F95),""))</f>
        <v/>
      </c>
      <c r="N95" s="9">
        <f>IF($K95="","",IFERROR($K95*$H95,""))</f>
        <v/>
      </c>
      <c r="O95" s="19">
        <f>IF(OR($E95="",$H95=""),"",IFERROR(EDATE($E95,$H95-1),""))</f>
        <v/>
      </c>
      <c r="P95" s="8">
        <f>IF(OR($A95="",$E95="",$H95="",Assumptions!$B$4=""),"",IFERROR(IF(Assumptions!$B$4&lt;$E95,0,MIN($H95,(YEAR(Assumptions!$B$4)-YEAR($E95))*12+MONTH(Assumptions!$B$4)-MONTH($E95)+IF(DAY(Assumptions!$B$4)&gt;=DAY($E95),1,0))),""))</f>
        <v/>
      </c>
      <c r="Q95" s="9">
        <f>IF(OR($A95="",$F95="",$G95="",$H95="",$L95="",$P95=""),"",IF($J95="Paid",0,IFERROR(MAX(0,IF($G95=0,$F95-$L95*$P95,$F95*(1+$G95/12)^$P95-$L95*((1+$G95/12)^$P95-1)/($G95/12))),"")))</f>
        <v/>
      </c>
      <c r="R95" s="20">
        <f>IF($A95="","",IF(OR($D95="",$E95="",$F95="",$G95="",$H95="",$J95=""),"Check missing input",IF($E95&lt;$D95,"Check payment date",IF(COUNTIF($A$5:$A$104,$A95)&gt;1,"Duplicate loan ID",IF($G95&gt;Assumptions!$B$7,"Review APR input",IF(AND($J95="Active",$O95&lt;Assumptions!$B$4,$Q95&gt;Assumptions!$B$5),"Review past maturity",IF($J95="On Hold","Review on-hold loan","")))))))</f>
        <v/>
      </c>
    </row>
    <row r="96">
      <c r="A96" s="13" t="n"/>
      <c r="B96" s="14" t="n"/>
      <c r="C96" s="14" t="n"/>
      <c r="D96" s="15" t="n"/>
      <c r="E96" s="15" t="n"/>
      <c r="F96" s="16" t="n"/>
      <c r="G96" s="17" t="n"/>
      <c r="H96" s="18" t="n"/>
      <c r="I96" s="16" t="n"/>
      <c r="J96" s="13" t="n"/>
      <c r="K96" s="10">
        <f>IF(OR($A96="",$F96="",$G96="",$H96=""),"",IFERROR(IF($G96=0,$F96/$H96,-PMT($G96/12,$H96,$F96)),""))</f>
        <v/>
      </c>
      <c r="L96" s="10">
        <f>IF($K96="","",IFERROR($K96+IF($I96="",0,$I96),""))</f>
        <v/>
      </c>
      <c r="M96" s="10">
        <f>IF($K96="","",IFERROR(MAX(0,$K96*$H96-$F96),""))</f>
        <v/>
      </c>
      <c r="N96" s="10">
        <f>IF($K96="","",IFERROR($K96*$H96,""))</f>
        <v/>
      </c>
      <c r="O96" s="21">
        <f>IF(OR($E96="",$H96=""),"",IFERROR(EDATE($E96,$H96-1),""))</f>
        <v/>
      </c>
      <c r="P96" s="7">
        <f>IF(OR($A96="",$E96="",$H96="",Assumptions!$B$4=""),"",IFERROR(IF(Assumptions!$B$4&lt;$E96,0,MIN($H96,(YEAR(Assumptions!$B$4)-YEAR($E96))*12+MONTH(Assumptions!$B$4)-MONTH($E96)+IF(DAY(Assumptions!$B$4)&gt;=DAY($E96),1,0))),""))</f>
        <v/>
      </c>
      <c r="Q96" s="10">
        <f>IF(OR($A96="",$F96="",$G96="",$H96="",$L96="",$P96=""),"",IF($J96="Paid",0,IFERROR(MAX(0,IF($G96=0,$F96-$L96*$P96,$F96*(1+$G96/12)^$P96-$L96*((1+$G96/12)^$P96-1)/($G96/12))),"")))</f>
        <v/>
      </c>
      <c r="R96" s="22">
        <f>IF($A96="","",IF(OR($D96="",$E96="",$F96="",$G96="",$H96="",$J96=""),"Check missing input",IF($E96&lt;$D96,"Check payment date",IF(COUNTIF($A$5:$A$104,$A96)&gt;1,"Duplicate loan ID",IF($G96&gt;Assumptions!$B$7,"Review APR input",IF(AND($J96="Active",$O96&lt;Assumptions!$B$4,$Q96&gt;Assumptions!$B$5),"Review past maturity",IF($J96="On Hold","Review on-hold loan","")))))))</f>
        <v/>
      </c>
    </row>
    <row r="97">
      <c r="A97" s="13" t="n"/>
      <c r="B97" s="14" t="n"/>
      <c r="C97" s="14" t="n"/>
      <c r="D97" s="15" t="n"/>
      <c r="E97" s="15" t="n"/>
      <c r="F97" s="16" t="n"/>
      <c r="G97" s="17" t="n"/>
      <c r="H97" s="18" t="n"/>
      <c r="I97" s="16" t="n"/>
      <c r="J97" s="13" t="n"/>
      <c r="K97" s="9">
        <f>IF(OR($A97="",$F97="",$G97="",$H97=""),"",IFERROR(IF($G97=0,$F97/$H97,-PMT($G97/12,$H97,$F97)),""))</f>
        <v/>
      </c>
      <c r="L97" s="9">
        <f>IF($K97="","",IFERROR($K97+IF($I97="",0,$I97),""))</f>
        <v/>
      </c>
      <c r="M97" s="9">
        <f>IF($K97="","",IFERROR(MAX(0,$K97*$H97-$F97),""))</f>
        <v/>
      </c>
      <c r="N97" s="9">
        <f>IF($K97="","",IFERROR($K97*$H97,""))</f>
        <v/>
      </c>
      <c r="O97" s="19">
        <f>IF(OR($E97="",$H97=""),"",IFERROR(EDATE($E97,$H97-1),""))</f>
        <v/>
      </c>
      <c r="P97" s="8">
        <f>IF(OR($A97="",$E97="",$H97="",Assumptions!$B$4=""),"",IFERROR(IF(Assumptions!$B$4&lt;$E97,0,MIN($H97,(YEAR(Assumptions!$B$4)-YEAR($E97))*12+MONTH(Assumptions!$B$4)-MONTH($E97)+IF(DAY(Assumptions!$B$4)&gt;=DAY($E97),1,0))),""))</f>
        <v/>
      </c>
      <c r="Q97" s="9">
        <f>IF(OR($A97="",$F97="",$G97="",$H97="",$L97="",$P97=""),"",IF($J97="Paid",0,IFERROR(MAX(0,IF($G97=0,$F97-$L97*$P97,$F97*(1+$G97/12)^$P97-$L97*((1+$G97/12)^$P97-1)/($G97/12))),"")))</f>
        <v/>
      </c>
      <c r="R97" s="20">
        <f>IF($A97="","",IF(OR($D97="",$E97="",$F97="",$G97="",$H97="",$J97=""),"Check missing input",IF($E97&lt;$D97,"Check payment date",IF(COUNTIF($A$5:$A$104,$A97)&gt;1,"Duplicate loan ID",IF($G97&gt;Assumptions!$B$7,"Review APR input",IF(AND($J97="Active",$O97&lt;Assumptions!$B$4,$Q97&gt;Assumptions!$B$5),"Review past maturity",IF($J97="On Hold","Review on-hold loan","")))))))</f>
        <v/>
      </c>
    </row>
    <row r="98">
      <c r="A98" s="13" t="n"/>
      <c r="B98" s="14" t="n"/>
      <c r="C98" s="14" t="n"/>
      <c r="D98" s="15" t="n"/>
      <c r="E98" s="15" t="n"/>
      <c r="F98" s="16" t="n"/>
      <c r="G98" s="17" t="n"/>
      <c r="H98" s="18" t="n"/>
      <c r="I98" s="16" t="n"/>
      <c r="J98" s="13" t="n"/>
      <c r="K98" s="10">
        <f>IF(OR($A98="",$F98="",$G98="",$H98=""),"",IFERROR(IF($G98=0,$F98/$H98,-PMT($G98/12,$H98,$F98)),""))</f>
        <v/>
      </c>
      <c r="L98" s="10">
        <f>IF($K98="","",IFERROR($K98+IF($I98="",0,$I98),""))</f>
        <v/>
      </c>
      <c r="M98" s="10">
        <f>IF($K98="","",IFERROR(MAX(0,$K98*$H98-$F98),""))</f>
        <v/>
      </c>
      <c r="N98" s="10">
        <f>IF($K98="","",IFERROR($K98*$H98,""))</f>
        <v/>
      </c>
      <c r="O98" s="21">
        <f>IF(OR($E98="",$H98=""),"",IFERROR(EDATE($E98,$H98-1),""))</f>
        <v/>
      </c>
      <c r="P98" s="7">
        <f>IF(OR($A98="",$E98="",$H98="",Assumptions!$B$4=""),"",IFERROR(IF(Assumptions!$B$4&lt;$E98,0,MIN($H98,(YEAR(Assumptions!$B$4)-YEAR($E98))*12+MONTH(Assumptions!$B$4)-MONTH($E98)+IF(DAY(Assumptions!$B$4)&gt;=DAY($E98),1,0))),""))</f>
        <v/>
      </c>
      <c r="Q98" s="10">
        <f>IF(OR($A98="",$F98="",$G98="",$H98="",$L98="",$P98=""),"",IF($J98="Paid",0,IFERROR(MAX(0,IF($G98=0,$F98-$L98*$P98,$F98*(1+$G98/12)^$P98-$L98*((1+$G98/12)^$P98-1)/($G98/12))),"")))</f>
        <v/>
      </c>
      <c r="R98" s="22">
        <f>IF($A98="","",IF(OR($D98="",$E98="",$F98="",$G98="",$H98="",$J98=""),"Check missing input",IF($E98&lt;$D98,"Check payment date",IF(COUNTIF($A$5:$A$104,$A98)&gt;1,"Duplicate loan ID",IF($G98&gt;Assumptions!$B$7,"Review APR input",IF(AND($J98="Active",$O98&lt;Assumptions!$B$4,$Q98&gt;Assumptions!$B$5),"Review past maturity",IF($J98="On Hold","Review on-hold loan","")))))))</f>
        <v/>
      </c>
    </row>
    <row r="99">
      <c r="A99" s="13" t="n"/>
      <c r="B99" s="14" t="n"/>
      <c r="C99" s="14" t="n"/>
      <c r="D99" s="15" t="n"/>
      <c r="E99" s="15" t="n"/>
      <c r="F99" s="16" t="n"/>
      <c r="G99" s="17" t="n"/>
      <c r="H99" s="18" t="n"/>
      <c r="I99" s="16" t="n"/>
      <c r="J99" s="13" t="n"/>
      <c r="K99" s="9">
        <f>IF(OR($A99="",$F99="",$G99="",$H99=""),"",IFERROR(IF($G99=0,$F99/$H99,-PMT($G99/12,$H99,$F99)),""))</f>
        <v/>
      </c>
      <c r="L99" s="9">
        <f>IF($K99="","",IFERROR($K99+IF($I99="",0,$I99),""))</f>
        <v/>
      </c>
      <c r="M99" s="9">
        <f>IF($K99="","",IFERROR(MAX(0,$K99*$H99-$F99),""))</f>
        <v/>
      </c>
      <c r="N99" s="9">
        <f>IF($K99="","",IFERROR($K99*$H99,""))</f>
        <v/>
      </c>
      <c r="O99" s="19">
        <f>IF(OR($E99="",$H99=""),"",IFERROR(EDATE($E99,$H99-1),""))</f>
        <v/>
      </c>
      <c r="P99" s="8">
        <f>IF(OR($A99="",$E99="",$H99="",Assumptions!$B$4=""),"",IFERROR(IF(Assumptions!$B$4&lt;$E99,0,MIN($H99,(YEAR(Assumptions!$B$4)-YEAR($E99))*12+MONTH(Assumptions!$B$4)-MONTH($E99)+IF(DAY(Assumptions!$B$4)&gt;=DAY($E99),1,0))),""))</f>
        <v/>
      </c>
      <c r="Q99" s="9">
        <f>IF(OR($A99="",$F99="",$G99="",$H99="",$L99="",$P99=""),"",IF($J99="Paid",0,IFERROR(MAX(0,IF($G99=0,$F99-$L99*$P99,$F99*(1+$G99/12)^$P99-$L99*((1+$G99/12)^$P99-1)/($G99/12))),"")))</f>
        <v/>
      </c>
      <c r="R99" s="20">
        <f>IF($A99="","",IF(OR($D99="",$E99="",$F99="",$G99="",$H99="",$J99=""),"Check missing input",IF($E99&lt;$D99,"Check payment date",IF(COUNTIF($A$5:$A$104,$A99)&gt;1,"Duplicate loan ID",IF($G99&gt;Assumptions!$B$7,"Review APR input",IF(AND($J99="Active",$O99&lt;Assumptions!$B$4,$Q99&gt;Assumptions!$B$5),"Review past maturity",IF($J99="On Hold","Review on-hold loan","")))))))</f>
        <v/>
      </c>
    </row>
    <row r="100">
      <c r="A100" s="13" t="n"/>
      <c r="B100" s="14" t="n"/>
      <c r="C100" s="14" t="n"/>
      <c r="D100" s="15" t="n"/>
      <c r="E100" s="15" t="n"/>
      <c r="F100" s="16" t="n"/>
      <c r="G100" s="17" t="n"/>
      <c r="H100" s="18" t="n"/>
      <c r="I100" s="16" t="n"/>
      <c r="J100" s="13" t="n"/>
      <c r="K100" s="10">
        <f>IF(OR($A100="",$F100="",$G100="",$H100=""),"",IFERROR(IF($G100=0,$F100/$H100,-PMT($G100/12,$H100,$F100)),""))</f>
        <v/>
      </c>
      <c r="L100" s="10">
        <f>IF($K100="","",IFERROR($K100+IF($I100="",0,$I100),""))</f>
        <v/>
      </c>
      <c r="M100" s="10">
        <f>IF($K100="","",IFERROR(MAX(0,$K100*$H100-$F100),""))</f>
        <v/>
      </c>
      <c r="N100" s="10">
        <f>IF($K100="","",IFERROR($K100*$H100,""))</f>
        <v/>
      </c>
      <c r="O100" s="21">
        <f>IF(OR($E100="",$H100=""),"",IFERROR(EDATE($E100,$H100-1),""))</f>
        <v/>
      </c>
      <c r="P100" s="7">
        <f>IF(OR($A100="",$E100="",$H100="",Assumptions!$B$4=""),"",IFERROR(IF(Assumptions!$B$4&lt;$E100,0,MIN($H100,(YEAR(Assumptions!$B$4)-YEAR($E100))*12+MONTH(Assumptions!$B$4)-MONTH($E100)+IF(DAY(Assumptions!$B$4)&gt;=DAY($E100),1,0))),""))</f>
        <v/>
      </c>
      <c r="Q100" s="10">
        <f>IF(OR($A100="",$F100="",$G100="",$H100="",$L100="",$P100=""),"",IF($J100="Paid",0,IFERROR(MAX(0,IF($G100=0,$F100-$L100*$P100,$F100*(1+$G100/12)^$P100-$L100*((1+$G100/12)^$P100-1)/($G100/12))),"")))</f>
        <v/>
      </c>
      <c r="R100" s="22">
        <f>IF($A100="","",IF(OR($D100="",$E100="",$F100="",$G100="",$H100="",$J100=""),"Check missing input",IF($E100&lt;$D100,"Check payment date",IF(COUNTIF($A$5:$A$104,$A100)&gt;1,"Duplicate loan ID",IF($G100&gt;Assumptions!$B$7,"Review APR input",IF(AND($J100="Active",$O100&lt;Assumptions!$B$4,$Q100&gt;Assumptions!$B$5),"Review past maturity",IF($J100="On Hold","Review on-hold loan","")))))))</f>
        <v/>
      </c>
    </row>
    <row r="101">
      <c r="A101" s="13" t="n"/>
      <c r="B101" s="14" t="n"/>
      <c r="C101" s="14" t="n"/>
      <c r="D101" s="15" t="n"/>
      <c r="E101" s="15" t="n"/>
      <c r="F101" s="16" t="n"/>
      <c r="G101" s="17" t="n"/>
      <c r="H101" s="18" t="n"/>
      <c r="I101" s="16" t="n"/>
      <c r="J101" s="13" t="n"/>
      <c r="K101" s="9">
        <f>IF(OR($A101="",$F101="",$G101="",$H101=""),"",IFERROR(IF($G101=0,$F101/$H101,-PMT($G101/12,$H101,$F101)),""))</f>
        <v/>
      </c>
      <c r="L101" s="9">
        <f>IF($K101="","",IFERROR($K101+IF($I101="",0,$I101),""))</f>
        <v/>
      </c>
      <c r="M101" s="9">
        <f>IF($K101="","",IFERROR(MAX(0,$K101*$H101-$F101),""))</f>
        <v/>
      </c>
      <c r="N101" s="9">
        <f>IF($K101="","",IFERROR($K101*$H101,""))</f>
        <v/>
      </c>
      <c r="O101" s="19">
        <f>IF(OR($E101="",$H101=""),"",IFERROR(EDATE($E101,$H101-1),""))</f>
        <v/>
      </c>
      <c r="P101" s="8">
        <f>IF(OR($A101="",$E101="",$H101="",Assumptions!$B$4=""),"",IFERROR(IF(Assumptions!$B$4&lt;$E101,0,MIN($H101,(YEAR(Assumptions!$B$4)-YEAR($E101))*12+MONTH(Assumptions!$B$4)-MONTH($E101)+IF(DAY(Assumptions!$B$4)&gt;=DAY($E101),1,0))),""))</f>
        <v/>
      </c>
      <c r="Q101" s="9">
        <f>IF(OR($A101="",$F101="",$G101="",$H101="",$L101="",$P101=""),"",IF($J101="Paid",0,IFERROR(MAX(0,IF($G101=0,$F101-$L101*$P101,$F101*(1+$G101/12)^$P101-$L101*((1+$G101/12)^$P101-1)/($G101/12))),"")))</f>
        <v/>
      </c>
      <c r="R101" s="20">
        <f>IF($A101="","",IF(OR($D101="",$E101="",$F101="",$G101="",$H101="",$J101=""),"Check missing input",IF($E101&lt;$D101,"Check payment date",IF(COUNTIF($A$5:$A$104,$A101)&gt;1,"Duplicate loan ID",IF($G101&gt;Assumptions!$B$7,"Review APR input",IF(AND($J101="Active",$O101&lt;Assumptions!$B$4,$Q101&gt;Assumptions!$B$5),"Review past maturity",IF($J101="On Hold","Review on-hold loan","")))))))</f>
        <v/>
      </c>
    </row>
    <row r="102">
      <c r="A102" s="13" t="n"/>
      <c r="B102" s="14" t="n"/>
      <c r="C102" s="14" t="n"/>
      <c r="D102" s="15" t="n"/>
      <c r="E102" s="15" t="n"/>
      <c r="F102" s="16" t="n"/>
      <c r="G102" s="17" t="n"/>
      <c r="H102" s="18" t="n"/>
      <c r="I102" s="16" t="n"/>
      <c r="J102" s="13" t="n"/>
      <c r="K102" s="10">
        <f>IF(OR($A102="",$F102="",$G102="",$H102=""),"",IFERROR(IF($G102=0,$F102/$H102,-PMT($G102/12,$H102,$F102)),""))</f>
        <v/>
      </c>
      <c r="L102" s="10">
        <f>IF($K102="","",IFERROR($K102+IF($I102="",0,$I102),""))</f>
        <v/>
      </c>
      <c r="M102" s="10">
        <f>IF($K102="","",IFERROR(MAX(0,$K102*$H102-$F102),""))</f>
        <v/>
      </c>
      <c r="N102" s="10">
        <f>IF($K102="","",IFERROR($K102*$H102,""))</f>
        <v/>
      </c>
      <c r="O102" s="21">
        <f>IF(OR($E102="",$H102=""),"",IFERROR(EDATE($E102,$H102-1),""))</f>
        <v/>
      </c>
      <c r="P102" s="7">
        <f>IF(OR($A102="",$E102="",$H102="",Assumptions!$B$4=""),"",IFERROR(IF(Assumptions!$B$4&lt;$E102,0,MIN($H102,(YEAR(Assumptions!$B$4)-YEAR($E102))*12+MONTH(Assumptions!$B$4)-MONTH($E102)+IF(DAY(Assumptions!$B$4)&gt;=DAY($E102),1,0))),""))</f>
        <v/>
      </c>
      <c r="Q102" s="10">
        <f>IF(OR($A102="",$F102="",$G102="",$H102="",$L102="",$P102=""),"",IF($J102="Paid",0,IFERROR(MAX(0,IF($G102=0,$F102-$L102*$P102,$F102*(1+$G102/12)^$P102-$L102*((1+$G102/12)^$P102-1)/($G102/12))),"")))</f>
        <v/>
      </c>
      <c r="R102" s="22">
        <f>IF($A102="","",IF(OR($D102="",$E102="",$F102="",$G102="",$H102="",$J102=""),"Check missing input",IF($E102&lt;$D102,"Check payment date",IF(COUNTIF($A$5:$A$104,$A102)&gt;1,"Duplicate loan ID",IF($G102&gt;Assumptions!$B$7,"Review APR input",IF(AND($J102="Active",$O102&lt;Assumptions!$B$4,$Q102&gt;Assumptions!$B$5),"Review past maturity",IF($J102="On Hold","Review on-hold loan","")))))))</f>
        <v/>
      </c>
    </row>
    <row r="103">
      <c r="A103" s="13" t="n"/>
      <c r="B103" s="14" t="n"/>
      <c r="C103" s="14" t="n"/>
      <c r="D103" s="15" t="n"/>
      <c r="E103" s="15" t="n"/>
      <c r="F103" s="16" t="n"/>
      <c r="G103" s="17" t="n"/>
      <c r="H103" s="18" t="n"/>
      <c r="I103" s="16" t="n"/>
      <c r="J103" s="13" t="n"/>
      <c r="K103" s="9">
        <f>IF(OR($A103="",$F103="",$G103="",$H103=""),"",IFERROR(IF($G103=0,$F103/$H103,-PMT($G103/12,$H103,$F103)),""))</f>
        <v/>
      </c>
      <c r="L103" s="9">
        <f>IF($K103="","",IFERROR($K103+IF($I103="",0,$I103),""))</f>
        <v/>
      </c>
      <c r="M103" s="9">
        <f>IF($K103="","",IFERROR(MAX(0,$K103*$H103-$F103),""))</f>
        <v/>
      </c>
      <c r="N103" s="9">
        <f>IF($K103="","",IFERROR($K103*$H103,""))</f>
        <v/>
      </c>
      <c r="O103" s="19">
        <f>IF(OR($E103="",$H103=""),"",IFERROR(EDATE($E103,$H103-1),""))</f>
        <v/>
      </c>
      <c r="P103" s="8">
        <f>IF(OR($A103="",$E103="",$H103="",Assumptions!$B$4=""),"",IFERROR(IF(Assumptions!$B$4&lt;$E103,0,MIN($H103,(YEAR(Assumptions!$B$4)-YEAR($E103))*12+MONTH(Assumptions!$B$4)-MONTH($E103)+IF(DAY(Assumptions!$B$4)&gt;=DAY($E103),1,0))),""))</f>
        <v/>
      </c>
      <c r="Q103" s="9">
        <f>IF(OR($A103="",$F103="",$G103="",$H103="",$L103="",$P103=""),"",IF($J103="Paid",0,IFERROR(MAX(0,IF($G103=0,$F103-$L103*$P103,$F103*(1+$G103/12)^$P103-$L103*((1+$G103/12)^$P103-1)/($G103/12))),"")))</f>
        <v/>
      </c>
      <c r="R103" s="20">
        <f>IF($A103="","",IF(OR($D103="",$E103="",$F103="",$G103="",$H103="",$J103=""),"Check missing input",IF($E103&lt;$D103,"Check payment date",IF(COUNTIF($A$5:$A$104,$A103)&gt;1,"Duplicate loan ID",IF($G103&gt;Assumptions!$B$7,"Review APR input",IF(AND($J103="Active",$O103&lt;Assumptions!$B$4,$Q103&gt;Assumptions!$B$5),"Review past maturity",IF($J103="On Hold","Review on-hold loan","")))))))</f>
        <v/>
      </c>
    </row>
    <row r="104">
      <c r="A104" s="13" t="n"/>
      <c r="B104" s="14" t="n"/>
      <c r="C104" s="14" t="n"/>
      <c r="D104" s="15" t="n"/>
      <c r="E104" s="15" t="n"/>
      <c r="F104" s="16" t="n"/>
      <c r="G104" s="17" t="n"/>
      <c r="H104" s="18" t="n"/>
      <c r="I104" s="16" t="n"/>
      <c r="J104" s="13" t="n"/>
      <c r="K104" s="10">
        <f>IF(OR($A104="",$F104="",$G104="",$H104=""),"",IFERROR(IF($G104=0,$F104/$H104,-PMT($G104/12,$H104,$F104)),""))</f>
        <v/>
      </c>
      <c r="L104" s="10">
        <f>IF($K104="","",IFERROR($K104+IF($I104="",0,$I104),""))</f>
        <v/>
      </c>
      <c r="M104" s="10">
        <f>IF($K104="","",IFERROR(MAX(0,$K104*$H104-$F104),""))</f>
        <v/>
      </c>
      <c r="N104" s="10">
        <f>IF($K104="","",IFERROR($K104*$H104,""))</f>
        <v/>
      </c>
      <c r="O104" s="21">
        <f>IF(OR($E104="",$H104=""),"",IFERROR(EDATE($E104,$H104-1),""))</f>
        <v/>
      </c>
      <c r="P104" s="7">
        <f>IF(OR($A104="",$E104="",$H104="",Assumptions!$B$4=""),"",IFERROR(IF(Assumptions!$B$4&lt;$E104,0,MIN($H104,(YEAR(Assumptions!$B$4)-YEAR($E104))*12+MONTH(Assumptions!$B$4)-MONTH($E104)+IF(DAY(Assumptions!$B$4)&gt;=DAY($E104),1,0))),""))</f>
        <v/>
      </c>
      <c r="Q104" s="10">
        <f>IF(OR($A104="",$F104="",$G104="",$H104="",$L104="",$P104=""),"",IF($J104="Paid",0,IFERROR(MAX(0,IF($G104=0,$F104-$L104*$P104,$F104*(1+$G104/12)^$P104-$L104*((1+$G104/12)^$P104-1)/($G104/12))),"")))</f>
        <v/>
      </c>
      <c r="R104" s="22">
        <f>IF($A104="","",IF(OR($D104="",$E104="",$F104="",$G104="",$H104="",$J104=""),"Check missing input",IF($E104&lt;$D104,"Check payment date",IF(COUNTIF($A$5:$A$104,$A104)&gt;1,"Duplicate loan ID",IF($G104&gt;Assumptions!$B$7,"Review APR input",IF(AND($J104="Active",$O104&lt;Assumptions!$B$4,$Q104&gt;Assumptions!$B$5),"Review past maturity",IF($J104="On Hold","Review on-hold loan","")))))))</f>
        <v/>
      </c>
    </row>
  </sheetData>
  <autoFilter ref="A4:R104"/>
  <mergeCells count="1">
    <mergeCell ref="A1:R1"/>
  </mergeCells>
  <conditionalFormatting sqref="R5:R104">
    <cfRule type="expression" priority="1" dxfId="0">
      <formula>$R5&lt;&gt;""</formula>
    </cfRule>
  </conditionalFormatting>
  <conditionalFormatting sqref="J5:J104">
    <cfRule type="expression" priority="2" dxfId="1">
      <formula>$J5="Paid"</formula>
    </cfRule>
  </conditionalFormatting>
  <conditionalFormatting sqref="Q5:Q104">
    <cfRule type="expression" priority="3" dxfId="1">
      <formula>AND($A5&lt;&gt;"",$Q5&gt;0)</formula>
    </cfRule>
  </conditionalFormatting>
  <dataValidations count="7">
    <dataValidation sqref="A5:A104" showDropDown="0" showInputMessage="0" showErrorMessage="1" allowBlank="0" errorTitle="Check Loan ID" error="Enter a unique loan ID or leave the cell blank." type="custom">
      <formula1>OR(A5="",COUNTIF($A$5:$A$104,A5)=1)</formula1>
    </dataValidation>
    <dataValidation sqref="D5:E104" showDropDown="0" showInputMessage="0" showErrorMessage="1" allowBlank="0" errorTitle="Check Date" error="Enter a date from 01/01/2000 through 12/31/2100." type="date" operator="between">
      <formula1>DATE(2000,1,1)</formula1>
      <formula2>DATE(2100,12,31)</formula2>
    </dataValidation>
    <dataValidation sqref="F5:F104" showDropDown="0" showInputMessage="0" showErrorMessage="1" allowBlank="0" errorTitle="Check Principal" error="Enter a principal amount greater than $0.00." type="decimal" operator="between">
      <formula1>0.01</formula1>
      <formula2>10000000</formula2>
    </dataValidation>
    <dataValidation sqref="G5:G104" showDropDown="0" showInputMessage="0" showErrorMessage="1" allowBlank="0" errorTitle="Check APR" error="Enter APR as a percentage from 0.00% through 100.00%." type="decimal" operator="between">
      <formula1>0</formula1>
      <formula2>1</formula2>
    </dataValidation>
    <dataValidation sqref="H5:H104" showDropDown="0" showInputMessage="0" showErrorMessage="1" allowBlank="0" errorTitle="Check Term" error="Enter a term from 1 through 360 months." type="whole" operator="between">
      <formula1>1</formula1>
      <formula2>360</formula2>
    </dataValidation>
    <dataValidation sqref="I5:I104" showDropDown="0" showInputMessage="0" showErrorMessage="1" allowBlank="0" errorTitle="Check Extra Payment" error="Enter zero or a positive monthly extra payment." type="decimal" operator="between">
      <formula1>0</formula1>
      <formula2>1000000</formula2>
    </dataValidation>
    <dataValidation sqref="J5:J104" showDropDown="0" showInputMessage="0" showErrorMessage="1" allowBlank="0" errorTitle="Check Status" error="Select Active, Planned, Paid, or On Hold." type="list">
      <formula1>"Active,Planned,Paid,On Hold"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6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8" customWidth="1" min="4" max="4"/>
    <col width="15" customWidth="1" min="5" max="5"/>
    <col width="14" customWidth="1" min="6" max="6"/>
    <col width="16" customWidth="1" min="7" max="7"/>
    <col width="15" customWidth="1" min="8" max="8"/>
    <col width="14" customWidth="1" min="9" max="9"/>
    <col width="17" customWidth="1" min="10" max="10"/>
    <col width="30" customWidth="1" min="11" max="11"/>
  </cols>
  <sheetData>
    <row r="1" ht="30" customHeight="1">
      <c r="A1" s="1" t="inlineStr">
        <is>
          <t>Green Lantern Lawns (Fictional) — Selected Loan Payment Schedule</t>
        </is>
      </c>
    </row>
    <row r="2">
      <c r="A2" s="23" t="inlineStr">
        <is>
          <t>Selected Loan ID</t>
        </is>
      </c>
      <c r="B2" s="24">
        <f>Assumptions!$B$6</f>
        <v/>
      </c>
      <c r="C2" s="23" t="inlineStr">
        <is>
          <t>Purpose or Asset</t>
        </is>
      </c>
      <c r="D2" s="24">
        <f>IFERROR(VLOOKUP($B$2,Loans!$A$5:$R$104,2,FALSE),"")</f>
        <v/>
      </c>
      <c r="E2" s="23" t="inlineStr">
        <is>
          <t>Lender</t>
        </is>
      </c>
      <c r="F2" s="24">
        <f>IFERROR(VLOOKUP($B$2,Loans!$A$5:$R$104,3,FALSE),"")</f>
        <v/>
      </c>
      <c r="G2" s="23" t="inlineStr">
        <is>
          <t>Status</t>
        </is>
      </c>
      <c r="H2" s="24">
        <f>IFERROR(VLOOKUP($B$2,Loans!$A$5:$R$104,10,FALSE),"")</f>
        <v/>
      </c>
    </row>
    <row r="3">
      <c r="A3" s="23" t="inlineStr">
        <is>
          <t>Principal</t>
        </is>
      </c>
      <c r="B3" s="25">
        <f>IFERROR(VLOOKUP($B$2,Loans!$A$5:$R$104,6,FALSE),"")</f>
        <v/>
      </c>
      <c r="C3" s="23" t="inlineStr">
        <is>
          <t>APR</t>
        </is>
      </c>
      <c r="D3" s="26">
        <f>IFERROR(VLOOKUP($B$2,Loans!$A$5:$R$104,7,FALSE),"")</f>
        <v/>
      </c>
      <c r="E3" s="23" t="inlineStr">
        <is>
          <t>Term (Months)</t>
        </is>
      </c>
      <c r="F3" s="27">
        <f>IFERROR(VLOOKUP($B$2,Loans!$A$5:$R$104,8,FALSE),"")</f>
        <v/>
      </c>
      <c r="G3" s="23" t="inlineStr">
        <is>
          <t>Standard Payment</t>
        </is>
      </c>
      <c r="H3" s="25">
        <f>IFERROR(VLOOKUP($B$2,Loans!$A$5:$R$104,11,FALSE),"")</f>
        <v/>
      </c>
    </row>
    <row r="4">
      <c r="A4" s="23" t="inlineStr">
        <is>
          <t>First Payment</t>
        </is>
      </c>
      <c r="B4" s="21">
        <f>IFERROR(VLOOKUP($B$2,Loans!$A$5:$R$104,5,FALSE),"")</f>
        <v/>
      </c>
      <c r="C4" s="23" t="inlineStr">
        <is>
          <t>Regular Extra</t>
        </is>
      </c>
      <c r="D4" s="25">
        <f>IFERROR(VLOOKUP($B$2,Loans!$A$5:$R$104,9,FALSE),"")</f>
        <v/>
      </c>
      <c r="E4" s="23" t="inlineStr">
        <is>
          <t>Projected Payoff</t>
        </is>
      </c>
      <c r="F4" s="21">
        <f>IF(COUNT($A$7:$A$366)=0,"",IFERROR(INDEX($B$7:$B$366,COUNT($A$7:$A$366)),""))</f>
        <v/>
      </c>
      <c r="G4" s="23" t="inlineStr">
        <is>
          <t>Projected Interest</t>
        </is>
      </c>
      <c r="H4" s="25">
        <f>IF($B$3="","",SUM($I$7:$I$366))</f>
        <v/>
      </c>
    </row>
    <row r="5" ht="30" customHeight="1">
      <c r="A5" s="2" t="inlineStr">
        <is>
          <t>Human check: Added extra amounts and notes remain in these rows if the selected loan changes. Clear or revise them before using a different scenario.</t>
        </is>
      </c>
    </row>
    <row r="6" ht="32" customHeight="1">
      <c r="A6" s="3" t="inlineStr">
        <is>
          <t>Payment #</t>
        </is>
      </c>
      <c r="B6" s="3" t="inlineStr">
        <is>
          <t>Due Date</t>
        </is>
      </c>
      <c r="C6" s="3" t="inlineStr">
        <is>
          <t>Beginning Balance</t>
        </is>
      </c>
      <c r="D6" s="3" t="inlineStr">
        <is>
          <t>Scheduled Payment</t>
        </is>
      </c>
      <c r="E6" s="3" t="inlineStr">
        <is>
          <t>Regular Extra</t>
        </is>
      </c>
      <c r="F6" s="3" t="inlineStr">
        <is>
          <t>Added Extra</t>
        </is>
      </c>
      <c r="G6" s="3" t="inlineStr">
        <is>
          <t>Total Payment</t>
        </is>
      </c>
      <c r="H6" s="3" t="inlineStr">
        <is>
          <t>Principal</t>
        </is>
      </c>
      <c r="I6" s="3" t="inlineStr">
        <is>
          <t>Interest</t>
        </is>
      </c>
      <c r="J6" s="3" t="inlineStr">
        <is>
          <t>Ending Balance</t>
        </is>
      </c>
      <c r="K6" s="3" t="inlineStr">
        <is>
          <t>Payment Note</t>
        </is>
      </c>
    </row>
    <row r="7">
      <c r="A7" s="28">
        <f>IF(OR($B$3="",$D$3="",$F$3="",$H$3="",$B$4="",1&gt;$F$3),"",1)</f>
        <v/>
      </c>
      <c r="B7" s="19">
        <f>IF($A7="","",IFERROR(EDATE($B$4,$A7-1),""))</f>
        <v/>
      </c>
      <c r="C7" s="9">
        <f>IF($A7="","",$B$3)</f>
        <v/>
      </c>
      <c r="D7" s="9">
        <f>IF($A7="","",IFERROR(MIN($H$3,$C7+$I7),""))</f>
        <v/>
      </c>
      <c r="E7" s="9">
        <f>IF($A7="","",IF($D$4="",0,$D$4))</f>
        <v/>
      </c>
      <c r="F7" s="16" t="n"/>
      <c r="G7" s="9">
        <f>IF($A7="","",IFERROR(MIN($C7+$I7,$D7+$E7+IF($F7="",0,$F7)),""))</f>
        <v/>
      </c>
      <c r="H7" s="9">
        <f>IF($A7="","",IFERROR(MAX(0,$G7-$I7),""))</f>
        <v/>
      </c>
      <c r="I7" s="9">
        <f>IF($A7="","",IFERROR($C7*$D$3/12,""))</f>
        <v/>
      </c>
      <c r="J7" s="9">
        <f>IF($A7="","",IFERROR(MAX(0,$C7-$H7),""))</f>
        <v/>
      </c>
      <c r="K7" s="14" t="n"/>
    </row>
    <row r="8">
      <c r="A8" s="29">
        <f>IF(OR($B$3="",$D$3="",$F$3="",$H$3="",$B$4="",2&gt;$F$3,$J7="",IFERROR($J7&lt;=0,TRUE)),"",2)</f>
        <v/>
      </c>
      <c r="B8" s="21">
        <f>IF($A8="","",IFERROR(EDATE($B$4,$A8-1),""))</f>
        <v/>
      </c>
      <c r="C8" s="10">
        <f>IF($A8="","",$J7)</f>
        <v/>
      </c>
      <c r="D8" s="10">
        <f>IF($A8="","",IFERROR(MIN($H$3,$C8+$I8),""))</f>
        <v/>
      </c>
      <c r="E8" s="10">
        <f>IF($A8="","",IF($D$4="",0,$D$4))</f>
        <v/>
      </c>
      <c r="F8" s="16" t="n"/>
      <c r="G8" s="10">
        <f>IF($A8="","",IFERROR(MIN($C8+$I8,$D8+$E8+IF($F8="",0,$F8)),""))</f>
        <v/>
      </c>
      <c r="H8" s="10">
        <f>IF($A8="","",IFERROR(MAX(0,$G8-$I8),""))</f>
        <v/>
      </c>
      <c r="I8" s="10">
        <f>IF($A8="","",IFERROR($C8*$D$3/12,""))</f>
        <v/>
      </c>
      <c r="J8" s="10">
        <f>IF($A8="","",IFERROR(MAX(0,$C8-$H8),""))</f>
        <v/>
      </c>
      <c r="K8" s="14" t="n"/>
    </row>
    <row r="9">
      <c r="A9" s="28">
        <f>IF(OR($B$3="",$D$3="",$F$3="",$H$3="",$B$4="",3&gt;$F$3,$J8="",IFERROR($J8&lt;=0,TRUE)),"",3)</f>
        <v/>
      </c>
      <c r="B9" s="19">
        <f>IF($A9="","",IFERROR(EDATE($B$4,$A9-1),""))</f>
        <v/>
      </c>
      <c r="C9" s="9">
        <f>IF($A9="","",$J8)</f>
        <v/>
      </c>
      <c r="D9" s="9">
        <f>IF($A9="","",IFERROR(MIN($H$3,$C9+$I9),""))</f>
        <v/>
      </c>
      <c r="E9" s="9">
        <f>IF($A9="","",IF($D$4="",0,$D$4))</f>
        <v/>
      </c>
      <c r="F9" s="16" t="n">
        <v>500</v>
      </c>
      <c r="G9" s="9">
        <f>IF($A9="","",IFERROR(MIN($C9+$I9,$D9+$E9+IF($F9="",0,$F9)),""))</f>
        <v/>
      </c>
      <c r="H9" s="9">
        <f>IF($A9="","",IFERROR(MAX(0,$G9-$I9),""))</f>
        <v/>
      </c>
      <c r="I9" s="9">
        <f>IF($A9="","",IFERROR($C9*$D$3/12,""))</f>
        <v/>
      </c>
      <c r="J9" s="9">
        <f>IF($A9="","",IFERROR(MAX(0,$C9-$H9),""))</f>
        <v/>
      </c>
      <c r="K9" s="14" t="inlineStr">
        <is>
          <t>Fictional seasonal surplus</t>
        </is>
      </c>
    </row>
    <row r="10">
      <c r="A10" s="29">
        <f>IF(OR($B$3="",$D$3="",$F$3="",$H$3="",$B$4="",4&gt;$F$3,$J9="",IFERROR($J9&lt;=0,TRUE)),"",4)</f>
        <v/>
      </c>
      <c r="B10" s="21">
        <f>IF($A10="","",IFERROR(EDATE($B$4,$A10-1),""))</f>
        <v/>
      </c>
      <c r="C10" s="10">
        <f>IF($A10="","",$J9)</f>
        <v/>
      </c>
      <c r="D10" s="10">
        <f>IF($A10="","",IFERROR(MIN($H$3,$C10+$I10),""))</f>
        <v/>
      </c>
      <c r="E10" s="10">
        <f>IF($A10="","",IF($D$4="",0,$D$4))</f>
        <v/>
      </c>
      <c r="F10" s="16" t="n"/>
      <c r="G10" s="10">
        <f>IF($A10="","",IFERROR(MIN($C10+$I10,$D10+$E10+IF($F10="",0,$F10)),""))</f>
        <v/>
      </c>
      <c r="H10" s="10">
        <f>IF($A10="","",IFERROR(MAX(0,$G10-$I10),""))</f>
        <v/>
      </c>
      <c r="I10" s="10">
        <f>IF($A10="","",IFERROR($C10*$D$3/12,""))</f>
        <v/>
      </c>
      <c r="J10" s="10">
        <f>IF($A10="","",IFERROR(MAX(0,$C10-$H10),""))</f>
        <v/>
      </c>
      <c r="K10" s="14" t="n"/>
    </row>
    <row r="11">
      <c r="A11" s="28">
        <f>IF(OR($B$3="",$D$3="",$F$3="",$H$3="",$B$4="",5&gt;$F$3,$J10="",IFERROR($J10&lt;=0,TRUE)),"",5)</f>
        <v/>
      </c>
      <c r="B11" s="19">
        <f>IF($A11="","",IFERROR(EDATE($B$4,$A11-1),""))</f>
        <v/>
      </c>
      <c r="C11" s="9">
        <f>IF($A11="","",$J10)</f>
        <v/>
      </c>
      <c r="D11" s="9">
        <f>IF($A11="","",IFERROR(MIN($H$3,$C11+$I11),""))</f>
        <v/>
      </c>
      <c r="E11" s="9">
        <f>IF($A11="","",IF($D$4="",0,$D$4))</f>
        <v/>
      </c>
      <c r="F11" s="16" t="n"/>
      <c r="G11" s="9">
        <f>IF($A11="","",IFERROR(MIN($C11+$I11,$D11+$E11+IF($F11="",0,$F11)),""))</f>
        <v/>
      </c>
      <c r="H11" s="9">
        <f>IF($A11="","",IFERROR(MAX(0,$G11-$I11),""))</f>
        <v/>
      </c>
      <c r="I11" s="9">
        <f>IF($A11="","",IFERROR($C11*$D$3/12,""))</f>
        <v/>
      </c>
      <c r="J11" s="9">
        <f>IF($A11="","",IFERROR(MAX(0,$C11-$H11),""))</f>
        <v/>
      </c>
      <c r="K11" s="14" t="n"/>
    </row>
    <row r="12">
      <c r="A12" s="29">
        <f>IF(OR($B$3="",$D$3="",$F$3="",$H$3="",$B$4="",6&gt;$F$3,$J11="",IFERROR($J11&lt;=0,TRUE)),"",6)</f>
        <v/>
      </c>
      <c r="B12" s="21">
        <f>IF($A12="","",IFERROR(EDATE($B$4,$A12-1),""))</f>
        <v/>
      </c>
      <c r="C12" s="10">
        <f>IF($A12="","",$J11)</f>
        <v/>
      </c>
      <c r="D12" s="10">
        <f>IF($A12="","",IFERROR(MIN($H$3,$C12+$I12),""))</f>
        <v/>
      </c>
      <c r="E12" s="10">
        <f>IF($A12="","",IF($D$4="",0,$D$4))</f>
        <v/>
      </c>
      <c r="F12" s="16" t="n"/>
      <c r="G12" s="10">
        <f>IF($A12="","",IFERROR(MIN($C12+$I12,$D12+$E12+IF($F12="",0,$F12)),""))</f>
        <v/>
      </c>
      <c r="H12" s="10">
        <f>IF($A12="","",IFERROR(MAX(0,$G12-$I12),""))</f>
        <v/>
      </c>
      <c r="I12" s="10">
        <f>IF($A12="","",IFERROR($C12*$D$3/12,""))</f>
        <v/>
      </c>
      <c r="J12" s="10">
        <f>IF($A12="","",IFERROR(MAX(0,$C12-$H12),""))</f>
        <v/>
      </c>
      <c r="K12" s="14" t="n"/>
    </row>
    <row r="13">
      <c r="A13" s="28">
        <f>IF(OR($B$3="",$D$3="",$F$3="",$H$3="",$B$4="",7&gt;$F$3,$J12="",IFERROR($J12&lt;=0,TRUE)),"",7)</f>
        <v/>
      </c>
      <c r="B13" s="19">
        <f>IF($A13="","",IFERROR(EDATE($B$4,$A13-1),""))</f>
        <v/>
      </c>
      <c r="C13" s="9">
        <f>IF($A13="","",$J12)</f>
        <v/>
      </c>
      <c r="D13" s="9">
        <f>IF($A13="","",IFERROR(MIN($H$3,$C13+$I13),""))</f>
        <v/>
      </c>
      <c r="E13" s="9">
        <f>IF($A13="","",IF($D$4="",0,$D$4))</f>
        <v/>
      </c>
      <c r="F13" s="16" t="n"/>
      <c r="G13" s="9">
        <f>IF($A13="","",IFERROR(MIN($C13+$I13,$D13+$E13+IF($F13="",0,$F13)),""))</f>
        <v/>
      </c>
      <c r="H13" s="9">
        <f>IF($A13="","",IFERROR(MAX(0,$G13-$I13),""))</f>
        <v/>
      </c>
      <c r="I13" s="9">
        <f>IF($A13="","",IFERROR($C13*$D$3/12,""))</f>
        <v/>
      </c>
      <c r="J13" s="9">
        <f>IF($A13="","",IFERROR(MAX(0,$C13-$H13),""))</f>
        <v/>
      </c>
      <c r="K13" s="14" t="n"/>
    </row>
    <row r="14">
      <c r="A14" s="29">
        <f>IF(OR($B$3="",$D$3="",$F$3="",$H$3="",$B$4="",8&gt;$F$3,$J13="",IFERROR($J13&lt;=0,TRUE)),"",8)</f>
        <v/>
      </c>
      <c r="B14" s="21">
        <f>IF($A14="","",IFERROR(EDATE($B$4,$A14-1),""))</f>
        <v/>
      </c>
      <c r="C14" s="10">
        <f>IF($A14="","",$J13)</f>
        <v/>
      </c>
      <c r="D14" s="10">
        <f>IF($A14="","",IFERROR(MIN($H$3,$C14+$I14),""))</f>
        <v/>
      </c>
      <c r="E14" s="10">
        <f>IF($A14="","",IF($D$4="",0,$D$4))</f>
        <v/>
      </c>
      <c r="F14" s="16" t="n"/>
      <c r="G14" s="10">
        <f>IF($A14="","",IFERROR(MIN($C14+$I14,$D14+$E14+IF($F14="",0,$F14)),""))</f>
        <v/>
      </c>
      <c r="H14" s="10">
        <f>IF($A14="","",IFERROR(MAX(0,$G14-$I14),""))</f>
        <v/>
      </c>
      <c r="I14" s="10">
        <f>IF($A14="","",IFERROR($C14*$D$3/12,""))</f>
        <v/>
      </c>
      <c r="J14" s="10">
        <f>IF($A14="","",IFERROR(MAX(0,$C14-$H14),""))</f>
        <v/>
      </c>
      <c r="K14" s="14" t="n"/>
    </row>
    <row r="15">
      <c r="A15" s="28">
        <f>IF(OR($B$3="",$D$3="",$F$3="",$H$3="",$B$4="",9&gt;$F$3,$J14="",IFERROR($J14&lt;=0,TRUE)),"",9)</f>
        <v/>
      </c>
      <c r="B15" s="19">
        <f>IF($A15="","",IFERROR(EDATE($B$4,$A15-1),""))</f>
        <v/>
      </c>
      <c r="C15" s="9">
        <f>IF($A15="","",$J14)</f>
        <v/>
      </c>
      <c r="D15" s="9">
        <f>IF($A15="","",IFERROR(MIN($H$3,$C15+$I15),""))</f>
        <v/>
      </c>
      <c r="E15" s="9">
        <f>IF($A15="","",IF($D$4="",0,$D$4))</f>
        <v/>
      </c>
      <c r="F15" s="16" t="n"/>
      <c r="G15" s="9">
        <f>IF($A15="","",IFERROR(MIN($C15+$I15,$D15+$E15+IF($F15="",0,$F15)),""))</f>
        <v/>
      </c>
      <c r="H15" s="9">
        <f>IF($A15="","",IFERROR(MAX(0,$G15-$I15),""))</f>
        <v/>
      </c>
      <c r="I15" s="9">
        <f>IF($A15="","",IFERROR($C15*$D$3/12,""))</f>
        <v/>
      </c>
      <c r="J15" s="9">
        <f>IF($A15="","",IFERROR(MAX(0,$C15-$H15),""))</f>
        <v/>
      </c>
      <c r="K15" s="14" t="n"/>
    </row>
    <row r="16">
      <c r="A16" s="29">
        <f>IF(OR($B$3="",$D$3="",$F$3="",$H$3="",$B$4="",10&gt;$F$3,$J15="",IFERROR($J15&lt;=0,TRUE)),"",10)</f>
        <v/>
      </c>
      <c r="B16" s="21">
        <f>IF($A16="","",IFERROR(EDATE($B$4,$A16-1),""))</f>
        <v/>
      </c>
      <c r="C16" s="10">
        <f>IF($A16="","",$J15)</f>
        <v/>
      </c>
      <c r="D16" s="10">
        <f>IF($A16="","",IFERROR(MIN($H$3,$C16+$I16),""))</f>
        <v/>
      </c>
      <c r="E16" s="10">
        <f>IF($A16="","",IF($D$4="",0,$D$4))</f>
        <v/>
      </c>
      <c r="F16" s="16" t="n"/>
      <c r="G16" s="10">
        <f>IF($A16="","",IFERROR(MIN($C16+$I16,$D16+$E16+IF($F16="",0,$F16)),""))</f>
        <v/>
      </c>
      <c r="H16" s="10">
        <f>IF($A16="","",IFERROR(MAX(0,$G16-$I16),""))</f>
        <v/>
      </c>
      <c r="I16" s="10">
        <f>IF($A16="","",IFERROR($C16*$D$3/12,""))</f>
        <v/>
      </c>
      <c r="J16" s="10">
        <f>IF($A16="","",IFERROR(MAX(0,$C16-$H16),""))</f>
        <v/>
      </c>
      <c r="K16" s="14" t="n"/>
    </row>
    <row r="17">
      <c r="A17" s="28">
        <f>IF(OR($B$3="",$D$3="",$F$3="",$H$3="",$B$4="",11&gt;$F$3,$J16="",IFERROR($J16&lt;=0,TRUE)),"",11)</f>
        <v/>
      </c>
      <c r="B17" s="19">
        <f>IF($A17="","",IFERROR(EDATE($B$4,$A17-1),""))</f>
        <v/>
      </c>
      <c r="C17" s="9">
        <f>IF($A17="","",$J16)</f>
        <v/>
      </c>
      <c r="D17" s="9">
        <f>IF($A17="","",IFERROR(MIN($H$3,$C17+$I17),""))</f>
        <v/>
      </c>
      <c r="E17" s="9">
        <f>IF($A17="","",IF($D$4="",0,$D$4))</f>
        <v/>
      </c>
      <c r="F17" s="16" t="n"/>
      <c r="G17" s="9">
        <f>IF($A17="","",IFERROR(MIN($C17+$I17,$D17+$E17+IF($F17="",0,$F17)),""))</f>
        <v/>
      </c>
      <c r="H17" s="9">
        <f>IF($A17="","",IFERROR(MAX(0,$G17-$I17),""))</f>
        <v/>
      </c>
      <c r="I17" s="9">
        <f>IF($A17="","",IFERROR($C17*$D$3/12,""))</f>
        <v/>
      </c>
      <c r="J17" s="9">
        <f>IF($A17="","",IFERROR(MAX(0,$C17-$H17),""))</f>
        <v/>
      </c>
      <c r="K17" s="14" t="n"/>
    </row>
    <row r="18">
      <c r="A18" s="29">
        <f>IF(OR($B$3="",$D$3="",$F$3="",$H$3="",$B$4="",12&gt;$F$3,$J17="",IFERROR($J17&lt;=0,TRUE)),"",12)</f>
        <v/>
      </c>
      <c r="B18" s="21">
        <f>IF($A18="","",IFERROR(EDATE($B$4,$A18-1),""))</f>
        <v/>
      </c>
      <c r="C18" s="10">
        <f>IF($A18="","",$J17)</f>
        <v/>
      </c>
      <c r="D18" s="10">
        <f>IF($A18="","",IFERROR(MIN($H$3,$C18+$I18),""))</f>
        <v/>
      </c>
      <c r="E18" s="10">
        <f>IF($A18="","",IF($D$4="",0,$D$4))</f>
        <v/>
      </c>
      <c r="F18" s="16" t="n">
        <v>750</v>
      </c>
      <c r="G18" s="10">
        <f>IF($A18="","",IFERROR(MIN($C18+$I18,$D18+$E18+IF($F18="",0,$F18)),""))</f>
        <v/>
      </c>
      <c r="H18" s="10">
        <f>IF($A18="","",IFERROR(MAX(0,$G18-$I18),""))</f>
        <v/>
      </c>
      <c r="I18" s="10">
        <f>IF($A18="","",IFERROR($C18*$D$3/12,""))</f>
        <v/>
      </c>
      <c r="J18" s="10">
        <f>IF($A18="","",IFERROR(MAX(0,$C18-$H18),""))</f>
        <v/>
      </c>
      <c r="K18" s="14" t="inlineStr">
        <is>
          <t>Fictional equipment sale proceeds</t>
        </is>
      </c>
    </row>
    <row r="19">
      <c r="A19" s="28">
        <f>IF(OR($B$3="",$D$3="",$F$3="",$H$3="",$B$4="",13&gt;$F$3,$J18="",IFERROR($J18&lt;=0,TRUE)),"",13)</f>
        <v/>
      </c>
      <c r="B19" s="19">
        <f>IF($A19="","",IFERROR(EDATE($B$4,$A19-1),""))</f>
        <v/>
      </c>
      <c r="C19" s="9">
        <f>IF($A19="","",$J18)</f>
        <v/>
      </c>
      <c r="D19" s="9">
        <f>IF($A19="","",IFERROR(MIN($H$3,$C19+$I19),""))</f>
        <v/>
      </c>
      <c r="E19" s="9">
        <f>IF($A19="","",IF($D$4="",0,$D$4))</f>
        <v/>
      </c>
      <c r="F19" s="16" t="n"/>
      <c r="G19" s="9">
        <f>IF($A19="","",IFERROR(MIN($C19+$I19,$D19+$E19+IF($F19="",0,$F19)),""))</f>
        <v/>
      </c>
      <c r="H19" s="9">
        <f>IF($A19="","",IFERROR(MAX(0,$G19-$I19),""))</f>
        <v/>
      </c>
      <c r="I19" s="9">
        <f>IF($A19="","",IFERROR($C19*$D$3/12,""))</f>
        <v/>
      </c>
      <c r="J19" s="9">
        <f>IF($A19="","",IFERROR(MAX(0,$C19-$H19),""))</f>
        <v/>
      </c>
      <c r="K19" s="14" t="n"/>
    </row>
    <row r="20">
      <c r="A20" s="29">
        <f>IF(OR($B$3="",$D$3="",$F$3="",$H$3="",$B$4="",14&gt;$F$3,$J19="",IFERROR($J19&lt;=0,TRUE)),"",14)</f>
        <v/>
      </c>
      <c r="B20" s="21">
        <f>IF($A20="","",IFERROR(EDATE($B$4,$A20-1),""))</f>
        <v/>
      </c>
      <c r="C20" s="10">
        <f>IF($A20="","",$J19)</f>
        <v/>
      </c>
      <c r="D20" s="10">
        <f>IF($A20="","",IFERROR(MIN($H$3,$C20+$I20),""))</f>
        <v/>
      </c>
      <c r="E20" s="10">
        <f>IF($A20="","",IF($D$4="",0,$D$4))</f>
        <v/>
      </c>
      <c r="F20" s="16" t="n"/>
      <c r="G20" s="10">
        <f>IF($A20="","",IFERROR(MIN($C20+$I20,$D20+$E20+IF($F20="",0,$F20)),""))</f>
        <v/>
      </c>
      <c r="H20" s="10">
        <f>IF($A20="","",IFERROR(MAX(0,$G20-$I20),""))</f>
        <v/>
      </c>
      <c r="I20" s="10">
        <f>IF($A20="","",IFERROR($C20*$D$3/12,""))</f>
        <v/>
      </c>
      <c r="J20" s="10">
        <f>IF($A20="","",IFERROR(MAX(0,$C20-$H20),""))</f>
        <v/>
      </c>
      <c r="K20" s="14" t="n"/>
    </row>
    <row r="21">
      <c r="A21" s="28">
        <f>IF(OR($B$3="",$D$3="",$F$3="",$H$3="",$B$4="",15&gt;$F$3,$J20="",IFERROR($J20&lt;=0,TRUE)),"",15)</f>
        <v/>
      </c>
      <c r="B21" s="19">
        <f>IF($A21="","",IFERROR(EDATE($B$4,$A21-1),""))</f>
        <v/>
      </c>
      <c r="C21" s="9">
        <f>IF($A21="","",$J20)</f>
        <v/>
      </c>
      <c r="D21" s="9">
        <f>IF($A21="","",IFERROR(MIN($H$3,$C21+$I21),""))</f>
        <v/>
      </c>
      <c r="E21" s="9">
        <f>IF($A21="","",IF($D$4="",0,$D$4))</f>
        <v/>
      </c>
      <c r="F21" s="16" t="n"/>
      <c r="G21" s="9">
        <f>IF($A21="","",IFERROR(MIN($C21+$I21,$D21+$E21+IF($F21="",0,$F21)),""))</f>
        <v/>
      </c>
      <c r="H21" s="9">
        <f>IF($A21="","",IFERROR(MAX(0,$G21-$I21),""))</f>
        <v/>
      </c>
      <c r="I21" s="9">
        <f>IF($A21="","",IFERROR($C21*$D$3/12,""))</f>
        <v/>
      </c>
      <c r="J21" s="9">
        <f>IF($A21="","",IFERROR(MAX(0,$C21-$H21),""))</f>
        <v/>
      </c>
      <c r="K21" s="14" t="n"/>
    </row>
    <row r="22">
      <c r="A22" s="29">
        <f>IF(OR($B$3="",$D$3="",$F$3="",$H$3="",$B$4="",16&gt;$F$3,$J21="",IFERROR($J21&lt;=0,TRUE)),"",16)</f>
        <v/>
      </c>
      <c r="B22" s="21">
        <f>IF($A22="","",IFERROR(EDATE($B$4,$A22-1),""))</f>
        <v/>
      </c>
      <c r="C22" s="10">
        <f>IF($A22="","",$J21)</f>
        <v/>
      </c>
      <c r="D22" s="10">
        <f>IF($A22="","",IFERROR(MIN($H$3,$C22+$I22),""))</f>
        <v/>
      </c>
      <c r="E22" s="10">
        <f>IF($A22="","",IF($D$4="",0,$D$4))</f>
        <v/>
      </c>
      <c r="F22" s="16" t="n"/>
      <c r="G22" s="10">
        <f>IF($A22="","",IFERROR(MIN($C22+$I22,$D22+$E22+IF($F22="",0,$F22)),""))</f>
        <v/>
      </c>
      <c r="H22" s="10">
        <f>IF($A22="","",IFERROR(MAX(0,$G22-$I22),""))</f>
        <v/>
      </c>
      <c r="I22" s="10">
        <f>IF($A22="","",IFERROR($C22*$D$3/12,""))</f>
        <v/>
      </c>
      <c r="J22" s="10">
        <f>IF($A22="","",IFERROR(MAX(0,$C22-$H22),""))</f>
        <v/>
      </c>
      <c r="K22" s="14" t="n"/>
    </row>
    <row r="23">
      <c r="A23" s="28">
        <f>IF(OR($B$3="",$D$3="",$F$3="",$H$3="",$B$4="",17&gt;$F$3,$J22="",IFERROR($J22&lt;=0,TRUE)),"",17)</f>
        <v/>
      </c>
      <c r="B23" s="19">
        <f>IF($A23="","",IFERROR(EDATE($B$4,$A23-1),""))</f>
        <v/>
      </c>
      <c r="C23" s="9">
        <f>IF($A23="","",$J22)</f>
        <v/>
      </c>
      <c r="D23" s="9">
        <f>IF($A23="","",IFERROR(MIN($H$3,$C23+$I23),""))</f>
        <v/>
      </c>
      <c r="E23" s="9">
        <f>IF($A23="","",IF($D$4="",0,$D$4))</f>
        <v/>
      </c>
      <c r="F23" s="16" t="n"/>
      <c r="G23" s="9">
        <f>IF($A23="","",IFERROR(MIN($C23+$I23,$D23+$E23+IF($F23="",0,$F23)),""))</f>
        <v/>
      </c>
      <c r="H23" s="9">
        <f>IF($A23="","",IFERROR(MAX(0,$G23-$I23),""))</f>
        <v/>
      </c>
      <c r="I23" s="9">
        <f>IF($A23="","",IFERROR($C23*$D$3/12,""))</f>
        <v/>
      </c>
      <c r="J23" s="9">
        <f>IF($A23="","",IFERROR(MAX(0,$C23-$H23),""))</f>
        <v/>
      </c>
      <c r="K23" s="14" t="n"/>
    </row>
    <row r="24">
      <c r="A24" s="29">
        <f>IF(OR($B$3="",$D$3="",$F$3="",$H$3="",$B$4="",18&gt;$F$3,$J23="",IFERROR($J23&lt;=0,TRUE)),"",18)</f>
        <v/>
      </c>
      <c r="B24" s="21">
        <f>IF($A24="","",IFERROR(EDATE($B$4,$A24-1),""))</f>
        <v/>
      </c>
      <c r="C24" s="10">
        <f>IF($A24="","",$J23)</f>
        <v/>
      </c>
      <c r="D24" s="10">
        <f>IF($A24="","",IFERROR(MIN($H$3,$C24+$I24),""))</f>
        <v/>
      </c>
      <c r="E24" s="10">
        <f>IF($A24="","",IF($D$4="",0,$D$4))</f>
        <v/>
      </c>
      <c r="F24" s="16" t="n"/>
      <c r="G24" s="10">
        <f>IF($A24="","",IFERROR(MIN($C24+$I24,$D24+$E24+IF($F24="",0,$F24)),""))</f>
        <v/>
      </c>
      <c r="H24" s="10">
        <f>IF($A24="","",IFERROR(MAX(0,$G24-$I24),""))</f>
        <v/>
      </c>
      <c r="I24" s="10">
        <f>IF($A24="","",IFERROR($C24*$D$3/12,""))</f>
        <v/>
      </c>
      <c r="J24" s="10">
        <f>IF($A24="","",IFERROR(MAX(0,$C24-$H24),""))</f>
        <v/>
      </c>
      <c r="K24" s="14" t="n"/>
    </row>
    <row r="25">
      <c r="A25" s="28">
        <f>IF(OR($B$3="",$D$3="",$F$3="",$H$3="",$B$4="",19&gt;$F$3,$J24="",IFERROR($J24&lt;=0,TRUE)),"",19)</f>
        <v/>
      </c>
      <c r="B25" s="19">
        <f>IF($A25="","",IFERROR(EDATE($B$4,$A25-1),""))</f>
        <v/>
      </c>
      <c r="C25" s="9">
        <f>IF($A25="","",$J24)</f>
        <v/>
      </c>
      <c r="D25" s="9">
        <f>IF($A25="","",IFERROR(MIN($H$3,$C25+$I25),""))</f>
        <v/>
      </c>
      <c r="E25" s="9">
        <f>IF($A25="","",IF($D$4="",0,$D$4))</f>
        <v/>
      </c>
      <c r="F25" s="16" t="n"/>
      <c r="G25" s="9">
        <f>IF($A25="","",IFERROR(MIN($C25+$I25,$D25+$E25+IF($F25="",0,$F25)),""))</f>
        <v/>
      </c>
      <c r="H25" s="9">
        <f>IF($A25="","",IFERROR(MAX(0,$G25-$I25),""))</f>
        <v/>
      </c>
      <c r="I25" s="9">
        <f>IF($A25="","",IFERROR($C25*$D$3/12,""))</f>
        <v/>
      </c>
      <c r="J25" s="9">
        <f>IF($A25="","",IFERROR(MAX(0,$C25-$H25),""))</f>
        <v/>
      </c>
      <c r="K25" s="14" t="n"/>
    </row>
    <row r="26">
      <c r="A26" s="29">
        <f>IF(OR($B$3="",$D$3="",$F$3="",$H$3="",$B$4="",20&gt;$F$3,$J25="",IFERROR($J25&lt;=0,TRUE)),"",20)</f>
        <v/>
      </c>
      <c r="B26" s="21">
        <f>IF($A26="","",IFERROR(EDATE($B$4,$A26-1),""))</f>
        <v/>
      </c>
      <c r="C26" s="10">
        <f>IF($A26="","",$J25)</f>
        <v/>
      </c>
      <c r="D26" s="10">
        <f>IF($A26="","",IFERROR(MIN($H$3,$C26+$I26),""))</f>
        <v/>
      </c>
      <c r="E26" s="10">
        <f>IF($A26="","",IF($D$4="",0,$D$4))</f>
        <v/>
      </c>
      <c r="F26" s="16" t="n"/>
      <c r="G26" s="10">
        <f>IF($A26="","",IFERROR(MIN($C26+$I26,$D26+$E26+IF($F26="",0,$F26)),""))</f>
        <v/>
      </c>
      <c r="H26" s="10">
        <f>IF($A26="","",IFERROR(MAX(0,$G26-$I26),""))</f>
        <v/>
      </c>
      <c r="I26" s="10">
        <f>IF($A26="","",IFERROR($C26*$D$3/12,""))</f>
        <v/>
      </c>
      <c r="J26" s="10">
        <f>IF($A26="","",IFERROR(MAX(0,$C26-$H26),""))</f>
        <v/>
      </c>
      <c r="K26" s="14" t="n"/>
    </row>
    <row r="27">
      <c r="A27" s="28">
        <f>IF(OR($B$3="",$D$3="",$F$3="",$H$3="",$B$4="",21&gt;$F$3,$J26="",IFERROR($J26&lt;=0,TRUE)),"",21)</f>
        <v/>
      </c>
      <c r="B27" s="19">
        <f>IF($A27="","",IFERROR(EDATE($B$4,$A27-1),""))</f>
        <v/>
      </c>
      <c r="C27" s="9">
        <f>IF($A27="","",$J26)</f>
        <v/>
      </c>
      <c r="D27" s="9">
        <f>IF($A27="","",IFERROR(MIN($H$3,$C27+$I27),""))</f>
        <v/>
      </c>
      <c r="E27" s="9">
        <f>IF($A27="","",IF($D$4="",0,$D$4))</f>
        <v/>
      </c>
      <c r="F27" s="16" t="n"/>
      <c r="G27" s="9">
        <f>IF($A27="","",IFERROR(MIN($C27+$I27,$D27+$E27+IF($F27="",0,$F27)),""))</f>
        <v/>
      </c>
      <c r="H27" s="9">
        <f>IF($A27="","",IFERROR(MAX(0,$G27-$I27),""))</f>
        <v/>
      </c>
      <c r="I27" s="9">
        <f>IF($A27="","",IFERROR($C27*$D$3/12,""))</f>
        <v/>
      </c>
      <c r="J27" s="9">
        <f>IF($A27="","",IFERROR(MAX(0,$C27-$H27),""))</f>
        <v/>
      </c>
      <c r="K27" s="14" t="n"/>
    </row>
    <row r="28">
      <c r="A28" s="29">
        <f>IF(OR($B$3="",$D$3="",$F$3="",$H$3="",$B$4="",22&gt;$F$3,$J27="",IFERROR($J27&lt;=0,TRUE)),"",22)</f>
        <v/>
      </c>
      <c r="B28" s="21">
        <f>IF($A28="","",IFERROR(EDATE($B$4,$A28-1),""))</f>
        <v/>
      </c>
      <c r="C28" s="10">
        <f>IF($A28="","",$J27)</f>
        <v/>
      </c>
      <c r="D28" s="10">
        <f>IF($A28="","",IFERROR(MIN($H$3,$C28+$I28),""))</f>
        <v/>
      </c>
      <c r="E28" s="10">
        <f>IF($A28="","",IF($D$4="",0,$D$4))</f>
        <v/>
      </c>
      <c r="F28" s="16" t="n"/>
      <c r="G28" s="10">
        <f>IF($A28="","",IFERROR(MIN($C28+$I28,$D28+$E28+IF($F28="",0,$F28)),""))</f>
        <v/>
      </c>
      <c r="H28" s="10">
        <f>IF($A28="","",IFERROR(MAX(0,$G28-$I28),""))</f>
        <v/>
      </c>
      <c r="I28" s="10">
        <f>IF($A28="","",IFERROR($C28*$D$3/12,""))</f>
        <v/>
      </c>
      <c r="J28" s="10">
        <f>IF($A28="","",IFERROR(MAX(0,$C28-$H28),""))</f>
        <v/>
      </c>
      <c r="K28" s="14" t="n"/>
    </row>
    <row r="29">
      <c r="A29" s="28">
        <f>IF(OR($B$3="",$D$3="",$F$3="",$H$3="",$B$4="",23&gt;$F$3,$J28="",IFERROR($J28&lt;=0,TRUE)),"",23)</f>
        <v/>
      </c>
      <c r="B29" s="19">
        <f>IF($A29="","",IFERROR(EDATE($B$4,$A29-1),""))</f>
        <v/>
      </c>
      <c r="C29" s="9">
        <f>IF($A29="","",$J28)</f>
        <v/>
      </c>
      <c r="D29" s="9">
        <f>IF($A29="","",IFERROR(MIN($H$3,$C29+$I29),""))</f>
        <v/>
      </c>
      <c r="E29" s="9">
        <f>IF($A29="","",IF($D$4="",0,$D$4))</f>
        <v/>
      </c>
      <c r="F29" s="16" t="n"/>
      <c r="G29" s="9">
        <f>IF($A29="","",IFERROR(MIN($C29+$I29,$D29+$E29+IF($F29="",0,$F29)),""))</f>
        <v/>
      </c>
      <c r="H29" s="9">
        <f>IF($A29="","",IFERROR(MAX(0,$G29-$I29),""))</f>
        <v/>
      </c>
      <c r="I29" s="9">
        <f>IF($A29="","",IFERROR($C29*$D$3/12,""))</f>
        <v/>
      </c>
      <c r="J29" s="9">
        <f>IF($A29="","",IFERROR(MAX(0,$C29-$H29),""))</f>
        <v/>
      </c>
      <c r="K29" s="14" t="n"/>
    </row>
    <row r="30">
      <c r="A30" s="29">
        <f>IF(OR($B$3="",$D$3="",$F$3="",$H$3="",$B$4="",24&gt;$F$3,$J29="",IFERROR($J29&lt;=0,TRUE)),"",24)</f>
        <v/>
      </c>
      <c r="B30" s="21">
        <f>IF($A30="","",IFERROR(EDATE($B$4,$A30-1),""))</f>
        <v/>
      </c>
      <c r="C30" s="10">
        <f>IF($A30="","",$J29)</f>
        <v/>
      </c>
      <c r="D30" s="10">
        <f>IF($A30="","",IFERROR(MIN($H$3,$C30+$I30),""))</f>
        <v/>
      </c>
      <c r="E30" s="10">
        <f>IF($A30="","",IF($D$4="",0,$D$4))</f>
        <v/>
      </c>
      <c r="F30" s="16" t="n"/>
      <c r="G30" s="10">
        <f>IF($A30="","",IFERROR(MIN($C30+$I30,$D30+$E30+IF($F30="",0,$F30)),""))</f>
        <v/>
      </c>
      <c r="H30" s="10">
        <f>IF($A30="","",IFERROR(MAX(0,$G30-$I30),""))</f>
        <v/>
      </c>
      <c r="I30" s="10">
        <f>IF($A30="","",IFERROR($C30*$D$3/12,""))</f>
        <v/>
      </c>
      <c r="J30" s="10">
        <f>IF($A30="","",IFERROR(MAX(0,$C30-$H30),""))</f>
        <v/>
      </c>
      <c r="K30" s="14" t="n"/>
    </row>
    <row r="31">
      <c r="A31" s="28">
        <f>IF(OR($B$3="",$D$3="",$F$3="",$H$3="",$B$4="",25&gt;$F$3,$J30="",IFERROR($J30&lt;=0,TRUE)),"",25)</f>
        <v/>
      </c>
      <c r="B31" s="19">
        <f>IF($A31="","",IFERROR(EDATE($B$4,$A31-1),""))</f>
        <v/>
      </c>
      <c r="C31" s="9">
        <f>IF($A31="","",$J30)</f>
        <v/>
      </c>
      <c r="D31" s="9">
        <f>IF($A31="","",IFERROR(MIN($H$3,$C31+$I31),""))</f>
        <v/>
      </c>
      <c r="E31" s="9">
        <f>IF($A31="","",IF($D$4="",0,$D$4))</f>
        <v/>
      </c>
      <c r="F31" s="16" t="n"/>
      <c r="G31" s="9">
        <f>IF($A31="","",IFERROR(MIN($C31+$I31,$D31+$E31+IF($F31="",0,$F31)),""))</f>
        <v/>
      </c>
      <c r="H31" s="9">
        <f>IF($A31="","",IFERROR(MAX(0,$G31-$I31),""))</f>
        <v/>
      </c>
      <c r="I31" s="9">
        <f>IF($A31="","",IFERROR($C31*$D$3/12,""))</f>
        <v/>
      </c>
      <c r="J31" s="9">
        <f>IF($A31="","",IFERROR(MAX(0,$C31-$H31),""))</f>
        <v/>
      </c>
      <c r="K31" s="14" t="n"/>
    </row>
    <row r="32">
      <c r="A32" s="29">
        <f>IF(OR($B$3="",$D$3="",$F$3="",$H$3="",$B$4="",26&gt;$F$3,$J31="",IFERROR($J31&lt;=0,TRUE)),"",26)</f>
        <v/>
      </c>
      <c r="B32" s="21">
        <f>IF($A32="","",IFERROR(EDATE($B$4,$A32-1),""))</f>
        <v/>
      </c>
      <c r="C32" s="10">
        <f>IF($A32="","",$J31)</f>
        <v/>
      </c>
      <c r="D32" s="10">
        <f>IF($A32="","",IFERROR(MIN($H$3,$C32+$I32),""))</f>
        <v/>
      </c>
      <c r="E32" s="10">
        <f>IF($A32="","",IF($D$4="",0,$D$4))</f>
        <v/>
      </c>
      <c r="F32" s="16" t="n"/>
      <c r="G32" s="10">
        <f>IF($A32="","",IFERROR(MIN($C32+$I32,$D32+$E32+IF($F32="",0,$F32)),""))</f>
        <v/>
      </c>
      <c r="H32" s="10">
        <f>IF($A32="","",IFERROR(MAX(0,$G32-$I32),""))</f>
        <v/>
      </c>
      <c r="I32" s="10">
        <f>IF($A32="","",IFERROR($C32*$D$3/12,""))</f>
        <v/>
      </c>
      <c r="J32" s="10">
        <f>IF($A32="","",IFERROR(MAX(0,$C32-$H32),""))</f>
        <v/>
      </c>
      <c r="K32" s="14" t="n"/>
    </row>
    <row r="33">
      <c r="A33" s="28">
        <f>IF(OR($B$3="",$D$3="",$F$3="",$H$3="",$B$4="",27&gt;$F$3,$J32="",IFERROR($J32&lt;=0,TRUE)),"",27)</f>
        <v/>
      </c>
      <c r="B33" s="19">
        <f>IF($A33="","",IFERROR(EDATE($B$4,$A33-1),""))</f>
        <v/>
      </c>
      <c r="C33" s="9">
        <f>IF($A33="","",$J32)</f>
        <v/>
      </c>
      <c r="D33" s="9">
        <f>IF($A33="","",IFERROR(MIN($H$3,$C33+$I33),""))</f>
        <v/>
      </c>
      <c r="E33" s="9">
        <f>IF($A33="","",IF($D$4="",0,$D$4))</f>
        <v/>
      </c>
      <c r="F33" s="16" t="n"/>
      <c r="G33" s="9">
        <f>IF($A33="","",IFERROR(MIN($C33+$I33,$D33+$E33+IF($F33="",0,$F33)),""))</f>
        <v/>
      </c>
      <c r="H33" s="9">
        <f>IF($A33="","",IFERROR(MAX(0,$G33-$I33),""))</f>
        <v/>
      </c>
      <c r="I33" s="9">
        <f>IF($A33="","",IFERROR($C33*$D$3/12,""))</f>
        <v/>
      </c>
      <c r="J33" s="9">
        <f>IF($A33="","",IFERROR(MAX(0,$C33-$H33),""))</f>
        <v/>
      </c>
      <c r="K33" s="14" t="n"/>
    </row>
    <row r="34">
      <c r="A34" s="29">
        <f>IF(OR($B$3="",$D$3="",$F$3="",$H$3="",$B$4="",28&gt;$F$3,$J33="",IFERROR($J33&lt;=0,TRUE)),"",28)</f>
        <v/>
      </c>
      <c r="B34" s="21">
        <f>IF($A34="","",IFERROR(EDATE($B$4,$A34-1),""))</f>
        <v/>
      </c>
      <c r="C34" s="10">
        <f>IF($A34="","",$J33)</f>
        <v/>
      </c>
      <c r="D34" s="10">
        <f>IF($A34="","",IFERROR(MIN($H$3,$C34+$I34),""))</f>
        <v/>
      </c>
      <c r="E34" s="10">
        <f>IF($A34="","",IF($D$4="",0,$D$4))</f>
        <v/>
      </c>
      <c r="F34" s="16" t="n"/>
      <c r="G34" s="10">
        <f>IF($A34="","",IFERROR(MIN($C34+$I34,$D34+$E34+IF($F34="",0,$F34)),""))</f>
        <v/>
      </c>
      <c r="H34" s="10">
        <f>IF($A34="","",IFERROR(MAX(0,$G34-$I34),""))</f>
        <v/>
      </c>
      <c r="I34" s="10">
        <f>IF($A34="","",IFERROR($C34*$D$3/12,""))</f>
        <v/>
      </c>
      <c r="J34" s="10">
        <f>IF($A34="","",IFERROR(MAX(0,$C34-$H34),""))</f>
        <v/>
      </c>
      <c r="K34" s="14" t="n"/>
    </row>
    <row r="35">
      <c r="A35" s="28">
        <f>IF(OR($B$3="",$D$3="",$F$3="",$H$3="",$B$4="",29&gt;$F$3,$J34="",IFERROR($J34&lt;=0,TRUE)),"",29)</f>
        <v/>
      </c>
      <c r="B35" s="19">
        <f>IF($A35="","",IFERROR(EDATE($B$4,$A35-1),""))</f>
        <v/>
      </c>
      <c r="C35" s="9">
        <f>IF($A35="","",$J34)</f>
        <v/>
      </c>
      <c r="D35" s="9">
        <f>IF($A35="","",IFERROR(MIN($H$3,$C35+$I35),""))</f>
        <v/>
      </c>
      <c r="E35" s="9">
        <f>IF($A35="","",IF($D$4="",0,$D$4))</f>
        <v/>
      </c>
      <c r="F35" s="16" t="n"/>
      <c r="G35" s="9">
        <f>IF($A35="","",IFERROR(MIN($C35+$I35,$D35+$E35+IF($F35="",0,$F35)),""))</f>
        <v/>
      </c>
      <c r="H35" s="9">
        <f>IF($A35="","",IFERROR(MAX(0,$G35-$I35),""))</f>
        <v/>
      </c>
      <c r="I35" s="9">
        <f>IF($A35="","",IFERROR($C35*$D$3/12,""))</f>
        <v/>
      </c>
      <c r="J35" s="9">
        <f>IF($A35="","",IFERROR(MAX(0,$C35-$H35),""))</f>
        <v/>
      </c>
      <c r="K35" s="14" t="n"/>
    </row>
    <row r="36">
      <c r="A36" s="29">
        <f>IF(OR($B$3="",$D$3="",$F$3="",$H$3="",$B$4="",30&gt;$F$3,$J35="",IFERROR($J35&lt;=0,TRUE)),"",30)</f>
        <v/>
      </c>
      <c r="B36" s="21">
        <f>IF($A36="","",IFERROR(EDATE($B$4,$A36-1),""))</f>
        <v/>
      </c>
      <c r="C36" s="10">
        <f>IF($A36="","",$J35)</f>
        <v/>
      </c>
      <c r="D36" s="10">
        <f>IF($A36="","",IFERROR(MIN($H$3,$C36+$I36),""))</f>
        <v/>
      </c>
      <c r="E36" s="10">
        <f>IF($A36="","",IF($D$4="",0,$D$4))</f>
        <v/>
      </c>
      <c r="F36" s="16" t="n"/>
      <c r="G36" s="10">
        <f>IF($A36="","",IFERROR(MIN($C36+$I36,$D36+$E36+IF($F36="",0,$F36)),""))</f>
        <v/>
      </c>
      <c r="H36" s="10">
        <f>IF($A36="","",IFERROR(MAX(0,$G36-$I36),""))</f>
        <v/>
      </c>
      <c r="I36" s="10">
        <f>IF($A36="","",IFERROR($C36*$D$3/12,""))</f>
        <v/>
      </c>
      <c r="J36" s="10">
        <f>IF($A36="","",IFERROR(MAX(0,$C36-$H36),""))</f>
        <v/>
      </c>
      <c r="K36" s="14" t="n"/>
    </row>
    <row r="37">
      <c r="A37" s="28">
        <f>IF(OR($B$3="",$D$3="",$F$3="",$H$3="",$B$4="",31&gt;$F$3,$J36="",IFERROR($J36&lt;=0,TRUE)),"",31)</f>
        <v/>
      </c>
      <c r="B37" s="19">
        <f>IF($A37="","",IFERROR(EDATE($B$4,$A37-1),""))</f>
        <v/>
      </c>
      <c r="C37" s="9">
        <f>IF($A37="","",$J36)</f>
        <v/>
      </c>
      <c r="D37" s="9">
        <f>IF($A37="","",IFERROR(MIN($H$3,$C37+$I37),""))</f>
        <v/>
      </c>
      <c r="E37" s="9">
        <f>IF($A37="","",IF($D$4="",0,$D$4))</f>
        <v/>
      </c>
      <c r="F37" s="16" t="n"/>
      <c r="G37" s="9">
        <f>IF($A37="","",IFERROR(MIN($C37+$I37,$D37+$E37+IF($F37="",0,$F37)),""))</f>
        <v/>
      </c>
      <c r="H37" s="9">
        <f>IF($A37="","",IFERROR(MAX(0,$G37-$I37),""))</f>
        <v/>
      </c>
      <c r="I37" s="9">
        <f>IF($A37="","",IFERROR($C37*$D$3/12,""))</f>
        <v/>
      </c>
      <c r="J37" s="9">
        <f>IF($A37="","",IFERROR(MAX(0,$C37-$H37),""))</f>
        <v/>
      </c>
      <c r="K37" s="14" t="n"/>
    </row>
    <row r="38">
      <c r="A38" s="29">
        <f>IF(OR($B$3="",$D$3="",$F$3="",$H$3="",$B$4="",32&gt;$F$3,$J37="",IFERROR($J37&lt;=0,TRUE)),"",32)</f>
        <v/>
      </c>
      <c r="B38" s="21">
        <f>IF($A38="","",IFERROR(EDATE($B$4,$A38-1),""))</f>
        <v/>
      </c>
      <c r="C38" s="10">
        <f>IF($A38="","",$J37)</f>
        <v/>
      </c>
      <c r="D38" s="10">
        <f>IF($A38="","",IFERROR(MIN($H$3,$C38+$I38),""))</f>
        <v/>
      </c>
      <c r="E38" s="10">
        <f>IF($A38="","",IF($D$4="",0,$D$4))</f>
        <v/>
      </c>
      <c r="F38" s="16" t="n"/>
      <c r="G38" s="10">
        <f>IF($A38="","",IFERROR(MIN($C38+$I38,$D38+$E38+IF($F38="",0,$F38)),""))</f>
        <v/>
      </c>
      <c r="H38" s="10">
        <f>IF($A38="","",IFERROR(MAX(0,$G38-$I38),""))</f>
        <v/>
      </c>
      <c r="I38" s="10">
        <f>IF($A38="","",IFERROR($C38*$D$3/12,""))</f>
        <v/>
      </c>
      <c r="J38" s="10">
        <f>IF($A38="","",IFERROR(MAX(0,$C38-$H38),""))</f>
        <v/>
      </c>
      <c r="K38" s="14" t="n"/>
    </row>
    <row r="39">
      <c r="A39" s="28">
        <f>IF(OR($B$3="",$D$3="",$F$3="",$H$3="",$B$4="",33&gt;$F$3,$J38="",IFERROR($J38&lt;=0,TRUE)),"",33)</f>
        <v/>
      </c>
      <c r="B39" s="19">
        <f>IF($A39="","",IFERROR(EDATE($B$4,$A39-1),""))</f>
        <v/>
      </c>
      <c r="C39" s="9">
        <f>IF($A39="","",$J38)</f>
        <v/>
      </c>
      <c r="D39" s="9">
        <f>IF($A39="","",IFERROR(MIN($H$3,$C39+$I39),""))</f>
        <v/>
      </c>
      <c r="E39" s="9">
        <f>IF($A39="","",IF($D$4="",0,$D$4))</f>
        <v/>
      </c>
      <c r="F39" s="16" t="n"/>
      <c r="G39" s="9">
        <f>IF($A39="","",IFERROR(MIN($C39+$I39,$D39+$E39+IF($F39="",0,$F39)),""))</f>
        <v/>
      </c>
      <c r="H39" s="9">
        <f>IF($A39="","",IFERROR(MAX(0,$G39-$I39),""))</f>
        <v/>
      </c>
      <c r="I39" s="9">
        <f>IF($A39="","",IFERROR($C39*$D$3/12,""))</f>
        <v/>
      </c>
      <c r="J39" s="9">
        <f>IF($A39="","",IFERROR(MAX(0,$C39-$H39),""))</f>
        <v/>
      </c>
      <c r="K39" s="14" t="n"/>
    </row>
    <row r="40">
      <c r="A40" s="29">
        <f>IF(OR($B$3="",$D$3="",$F$3="",$H$3="",$B$4="",34&gt;$F$3,$J39="",IFERROR($J39&lt;=0,TRUE)),"",34)</f>
        <v/>
      </c>
      <c r="B40" s="21">
        <f>IF($A40="","",IFERROR(EDATE($B$4,$A40-1),""))</f>
        <v/>
      </c>
      <c r="C40" s="10">
        <f>IF($A40="","",$J39)</f>
        <v/>
      </c>
      <c r="D40" s="10">
        <f>IF($A40="","",IFERROR(MIN($H$3,$C40+$I40),""))</f>
        <v/>
      </c>
      <c r="E40" s="10">
        <f>IF($A40="","",IF($D$4="",0,$D$4))</f>
        <v/>
      </c>
      <c r="F40" s="16" t="n"/>
      <c r="G40" s="10">
        <f>IF($A40="","",IFERROR(MIN($C40+$I40,$D40+$E40+IF($F40="",0,$F40)),""))</f>
        <v/>
      </c>
      <c r="H40" s="10">
        <f>IF($A40="","",IFERROR(MAX(0,$G40-$I40),""))</f>
        <v/>
      </c>
      <c r="I40" s="10">
        <f>IF($A40="","",IFERROR($C40*$D$3/12,""))</f>
        <v/>
      </c>
      <c r="J40" s="10">
        <f>IF($A40="","",IFERROR(MAX(0,$C40-$H40),""))</f>
        <v/>
      </c>
      <c r="K40" s="14" t="n"/>
    </row>
    <row r="41">
      <c r="A41" s="28">
        <f>IF(OR($B$3="",$D$3="",$F$3="",$H$3="",$B$4="",35&gt;$F$3,$J40="",IFERROR($J40&lt;=0,TRUE)),"",35)</f>
        <v/>
      </c>
      <c r="B41" s="19">
        <f>IF($A41="","",IFERROR(EDATE($B$4,$A41-1),""))</f>
        <v/>
      </c>
      <c r="C41" s="9">
        <f>IF($A41="","",$J40)</f>
        <v/>
      </c>
      <c r="D41" s="9">
        <f>IF($A41="","",IFERROR(MIN($H$3,$C41+$I41),""))</f>
        <v/>
      </c>
      <c r="E41" s="9">
        <f>IF($A41="","",IF($D$4="",0,$D$4))</f>
        <v/>
      </c>
      <c r="F41" s="16" t="n"/>
      <c r="G41" s="9">
        <f>IF($A41="","",IFERROR(MIN($C41+$I41,$D41+$E41+IF($F41="",0,$F41)),""))</f>
        <v/>
      </c>
      <c r="H41" s="9">
        <f>IF($A41="","",IFERROR(MAX(0,$G41-$I41),""))</f>
        <v/>
      </c>
      <c r="I41" s="9">
        <f>IF($A41="","",IFERROR($C41*$D$3/12,""))</f>
        <v/>
      </c>
      <c r="J41" s="9">
        <f>IF($A41="","",IFERROR(MAX(0,$C41-$H41),""))</f>
        <v/>
      </c>
      <c r="K41" s="14" t="n"/>
    </row>
    <row r="42">
      <c r="A42" s="29">
        <f>IF(OR($B$3="",$D$3="",$F$3="",$H$3="",$B$4="",36&gt;$F$3,$J41="",IFERROR($J41&lt;=0,TRUE)),"",36)</f>
        <v/>
      </c>
      <c r="B42" s="21">
        <f>IF($A42="","",IFERROR(EDATE($B$4,$A42-1),""))</f>
        <v/>
      </c>
      <c r="C42" s="10">
        <f>IF($A42="","",$J41)</f>
        <v/>
      </c>
      <c r="D42" s="10">
        <f>IF($A42="","",IFERROR(MIN($H$3,$C42+$I42),""))</f>
        <v/>
      </c>
      <c r="E42" s="10">
        <f>IF($A42="","",IF($D$4="",0,$D$4))</f>
        <v/>
      </c>
      <c r="F42" s="16" t="n"/>
      <c r="G42" s="10">
        <f>IF($A42="","",IFERROR(MIN($C42+$I42,$D42+$E42+IF($F42="",0,$F42)),""))</f>
        <v/>
      </c>
      <c r="H42" s="10">
        <f>IF($A42="","",IFERROR(MAX(0,$G42-$I42),""))</f>
        <v/>
      </c>
      <c r="I42" s="10">
        <f>IF($A42="","",IFERROR($C42*$D$3/12,""))</f>
        <v/>
      </c>
      <c r="J42" s="10">
        <f>IF($A42="","",IFERROR(MAX(0,$C42-$H42),""))</f>
        <v/>
      </c>
      <c r="K42" s="14" t="n"/>
    </row>
    <row r="43">
      <c r="A43" s="28">
        <f>IF(OR($B$3="",$D$3="",$F$3="",$H$3="",$B$4="",37&gt;$F$3,$J42="",IFERROR($J42&lt;=0,TRUE)),"",37)</f>
        <v/>
      </c>
      <c r="B43" s="19">
        <f>IF($A43="","",IFERROR(EDATE($B$4,$A43-1),""))</f>
        <v/>
      </c>
      <c r="C43" s="9">
        <f>IF($A43="","",$J42)</f>
        <v/>
      </c>
      <c r="D43" s="9">
        <f>IF($A43="","",IFERROR(MIN($H$3,$C43+$I43),""))</f>
        <v/>
      </c>
      <c r="E43" s="9">
        <f>IF($A43="","",IF($D$4="",0,$D$4))</f>
        <v/>
      </c>
      <c r="F43" s="16" t="n"/>
      <c r="G43" s="9">
        <f>IF($A43="","",IFERROR(MIN($C43+$I43,$D43+$E43+IF($F43="",0,$F43)),""))</f>
        <v/>
      </c>
      <c r="H43" s="9">
        <f>IF($A43="","",IFERROR(MAX(0,$G43-$I43),""))</f>
        <v/>
      </c>
      <c r="I43" s="9">
        <f>IF($A43="","",IFERROR($C43*$D$3/12,""))</f>
        <v/>
      </c>
      <c r="J43" s="9">
        <f>IF($A43="","",IFERROR(MAX(0,$C43-$H43),""))</f>
        <v/>
      </c>
      <c r="K43" s="14" t="n"/>
    </row>
    <row r="44">
      <c r="A44" s="29">
        <f>IF(OR($B$3="",$D$3="",$F$3="",$H$3="",$B$4="",38&gt;$F$3,$J43="",IFERROR($J43&lt;=0,TRUE)),"",38)</f>
        <v/>
      </c>
      <c r="B44" s="21">
        <f>IF($A44="","",IFERROR(EDATE($B$4,$A44-1),""))</f>
        <v/>
      </c>
      <c r="C44" s="10">
        <f>IF($A44="","",$J43)</f>
        <v/>
      </c>
      <c r="D44" s="10">
        <f>IF($A44="","",IFERROR(MIN($H$3,$C44+$I44),""))</f>
        <v/>
      </c>
      <c r="E44" s="10">
        <f>IF($A44="","",IF($D$4="",0,$D$4))</f>
        <v/>
      </c>
      <c r="F44" s="16" t="n"/>
      <c r="G44" s="10">
        <f>IF($A44="","",IFERROR(MIN($C44+$I44,$D44+$E44+IF($F44="",0,$F44)),""))</f>
        <v/>
      </c>
      <c r="H44" s="10">
        <f>IF($A44="","",IFERROR(MAX(0,$G44-$I44),""))</f>
        <v/>
      </c>
      <c r="I44" s="10">
        <f>IF($A44="","",IFERROR($C44*$D$3/12,""))</f>
        <v/>
      </c>
      <c r="J44" s="10">
        <f>IF($A44="","",IFERROR(MAX(0,$C44-$H44),""))</f>
        <v/>
      </c>
      <c r="K44" s="14" t="n"/>
    </row>
    <row r="45">
      <c r="A45" s="28">
        <f>IF(OR($B$3="",$D$3="",$F$3="",$H$3="",$B$4="",39&gt;$F$3,$J44="",IFERROR($J44&lt;=0,TRUE)),"",39)</f>
        <v/>
      </c>
      <c r="B45" s="19">
        <f>IF($A45="","",IFERROR(EDATE($B$4,$A45-1),""))</f>
        <v/>
      </c>
      <c r="C45" s="9">
        <f>IF($A45="","",$J44)</f>
        <v/>
      </c>
      <c r="D45" s="9">
        <f>IF($A45="","",IFERROR(MIN($H$3,$C45+$I45),""))</f>
        <v/>
      </c>
      <c r="E45" s="9">
        <f>IF($A45="","",IF($D$4="",0,$D$4))</f>
        <v/>
      </c>
      <c r="F45" s="16" t="n"/>
      <c r="G45" s="9">
        <f>IF($A45="","",IFERROR(MIN($C45+$I45,$D45+$E45+IF($F45="",0,$F45)),""))</f>
        <v/>
      </c>
      <c r="H45" s="9">
        <f>IF($A45="","",IFERROR(MAX(0,$G45-$I45),""))</f>
        <v/>
      </c>
      <c r="I45" s="9">
        <f>IF($A45="","",IFERROR($C45*$D$3/12,""))</f>
        <v/>
      </c>
      <c r="J45" s="9">
        <f>IF($A45="","",IFERROR(MAX(0,$C45-$H45),""))</f>
        <v/>
      </c>
      <c r="K45" s="14" t="n"/>
    </row>
    <row r="46">
      <c r="A46" s="29">
        <f>IF(OR($B$3="",$D$3="",$F$3="",$H$3="",$B$4="",40&gt;$F$3,$J45="",IFERROR($J45&lt;=0,TRUE)),"",40)</f>
        <v/>
      </c>
      <c r="B46" s="21">
        <f>IF($A46="","",IFERROR(EDATE($B$4,$A46-1),""))</f>
        <v/>
      </c>
      <c r="C46" s="10">
        <f>IF($A46="","",$J45)</f>
        <v/>
      </c>
      <c r="D46" s="10">
        <f>IF($A46="","",IFERROR(MIN($H$3,$C46+$I46),""))</f>
        <v/>
      </c>
      <c r="E46" s="10">
        <f>IF($A46="","",IF($D$4="",0,$D$4))</f>
        <v/>
      </c>
      <c r="F46" s="16" t="n"/>
      <c r="G46" s="10">
        <f>IF($A46="","",IFERROR(MIN($C46+$I46,$D46+$E46+IF($F46="",0,$F46)),""))</f>
        <v/>
      </c>
      <c r="H46" s="10">
        <f>IF($A46="","",IFERROR(MAX(0,$G46-$I46),""))</f>
        <v/>
      </c>
      <c r="I46" s="10">
        <f>IF($A46="","",IFERROR($C46*$D$3/12,""))</f>
        <v/>
      </c>
      <c r="J46" s="10">
        <f>IF($A46="","",IFERROR(MAX(0,$C46-$H46),""))</f>
        <v/>
      </c>
      <c r="K46" s="14" t="n"/>
    </row>
    <row r="47">
      <c r="A47" s="28">
        <f>IF(OR($B$3="",$D$3="",$F$3="",$H$3="",$B$4="",41&gt;$F$3,$J46="",IFERROR($J46&lt;=0,TRUE)),"",41)</f>
        <v/>
      </c>
      <c r="B47" s="19">
        <f>IF($A47="","",IFERROR(EDATE($B$4,$A47-1),""))</f>
        <v/>
      </c>
      <c r="C47" s="9">
        <f>IF($A47="","",$J46)</f>
        <v/>
      </c>
      <c r="D47" s="9">
        <f>IF($A47="","",IFERROR(MIN($H$3,$C47+$I47),""))</f>
        <v/>
      </c>
      <c r="E47" s="9">
        <f>IF($A47="","",IF($D$4="",0,$D$4))</f>
        <v/>
      </c>
      <c r="F47" s="16" t="n"/>
      <c r="G47" s="9">
        <f>IF($A47="","",IFERROR(MIN($C47+$I47,$D47+$E47+IF($F47="",0,$F47)),""))</f>
        <v/>
      </c>
      <c r="H47" s="9">
        <f>IF($A47="","",IFERROR(MAX(0,$G47-$I47),""))</f>
        <v/>
      </c>
      <c r="I47" s="9">
        <f>IF($A47="","",IFERROR($C47*$D$3/12,""))</f>
        <v/>
      </c>
      <c r="J47" s="9">
        <f>IF($A47="","",IFERROR(MAX(0,$C47-$H47),""))</f>
        <v/>
      </c>
      <c r="K47" s="14" t="n"/>
    </row>
    <row r="48">
      <c r="A48" s="29">
        <f>IF(OR($B$3="",$D$3="",$F$3="",$H$3="",$B$4="",42&gt;$F$3,$J47="",IFERROR($J47&lt;=0,TRUE)),"",42)</f>
        <v/>
      </c>
      <c r="B48" s="21">
        <f>IF($A48="","",IFERROR(EDATE($B$4,$A48-1),""))</f>
        <v/>
      </c>
      <c r="C48" s="10">
        <f>IF($A48="","",$J47)</f>
        <v/>
      </c>
      <c r="D48" s="10">
        <f>IF($A48="","",IFERROR(MIN($H$3,$C48+$I48),""))</f>
        <v/>
      </c>
      <c r="E48" s="10">
        <f>IF($A48="","",IF($D$4="",0,$D$4))</f>
        <v/>
      </c>
      <c r="F48" s="16" t="n"/>
      <c r="G48" s="10">
        <f>IF($A48="","",IFERROR(MIN($C48+$I48,$D48+$E48+IF($F48="",0,$F48)),""))</f>
        <v/>
      </c>
      <c r="H48" s="10">
        <f>IF($A48="","",IFERROR(MAX(0,$G48-$I48),""))</f>
        <v/>
      </c>
      <c r="I48" s="10">
        <f>IF($A48="","",IFERROR($C48*$D$3/12,""))</f>
        <v/>
      </c>
      <c r="J48" s="10">
        <f>IF($A48="","",IFERROR(MAX(0,$C48-$H48),""))</f>
        <v/>
      </c>
      <c r="K48" s="14" t="n"/>
    </row>
    <row r="49">
      <c r="A49" s="28">
        <f>IF(OR($B$3="",$D$3="",$F$3="",$H$3="",$B$4="",43&gt;$F$3,$J48="",IFERROR($J48&lt;=0,TRUE)),"",43)</f>
        <v/>
      </c>
      <c r="B49" s="19">
        <f>IF($A49="","",IFERROR(EDATE($B$4,$A49-1),""))</f>
        <v/>
      </c>
      <c r="C49" s="9">
        <f>IF($A49="","",$J48)</f>
        <v/>
      </c>
      <c r="D49" s="9">
        <f>IF($A49="","",IFERROR(MIN($H$3,$C49+$I49),""))</f>
        <v/>
      </c>
      <c r="E49" s="9">
        <f>IF($A49="","",IF($D$4="",0,$D$4))</f>
        <v/>
      </c>
      <c r="F49" s="16" t="n"/>
      <c r="G49" s="9">
        <f>IF($A49="","",IFERROR(MIN($C49+$I49,$D49+$E49+IF($F49="",0,$F49)),""))</f>
        <v/>
      </c>
      <c r="H49" s="9">
        <f>IF($A49="","",IFERROR(MAX(0,$G49-$I49),""))</f>
        <v/>
      </c>
      <c r="I49" s="9">
        <f>IF($A49="","",IFERROR($C49*$D$3/12,""))</f>
        <v/>
      </c>
      <c r="J49" s="9">
        <f>IF($A49="","",IFERROR(MAX(0,$C49-$H49),""))</f>
        <v/>
      </c>
      <c r="K49" s="14" t="n"/>
    </row>
    <row r="50">
      <c r="A50" s="29">
        <f>IF(OR($B$3="",$D$3="",$F$3="",$H$3="",$B$4="",44&gt;$F$3,$J49="",IFERROR($J49&lt;=0,TRUE)),"",44)</f>
        <v/>
      </c>
      <c r="B50" s="21">
        <f>IF($A50="","",IFERROR(EDATE($B$4,$A50-1),""))</f>
        <v/>
      </c>
      <c r="C50" s="10">
        <f>IF($A50="","",$J49)</f>
        <v/>
      </c>
      <c r="D50" s="10">
        <f>IF($A50="","",IFERROR(MIN($H$3,$C50+$I50),""))</f>
        <v/>
      </c>
      <c r="E50" s="10">
        <f>IF($A50="","",IF($D$4="",0,$D$4))</f>
        <v/>
      </c>
      <c r="F50" s="16" t="n"/>
      <c r="G50" s="10">
        <f>IF($A50="","",IFERROR(MIN($C50+$I50,$D50+$E50+IF($F50="",0,$F50)),""))</f>
        <v/>
      </c>
      <c r="H50" s="10">
        <f>IF($A50="","",IFERROR(MAX(0,$G50-$I50),""))</f>
        <v/>
      </c>
      <c r="I50" s="10">
        <f>IF($A50="","",IFERROR($C50*$D$3/12,""))</f>
        <v/>
      </c>
      <c r="J50" s="10">
        <f>IF($A50="","",IFERROR(MAX(0,$C50-$H50),""))</f>
        <v/>
      </c>
      <c r="K50" s="14" t="n"/>
    </row>
    <row r="51">
      <c r="A51" s="28">
        <f>IF(OR($B$3="",$D$3="",$F$3="",$H$3="",$B$4="",45&gt;$F$3,$J50="",IFERROR($J50&lt;=0,TRUE)),"",45)</f>
        <v/>
      </c>
      <c r="B51" s="19">
        <f>IF($A51="","",IFERROR(EDATE($B$4,$A51-1),""))</f>
        <v/>
      </c>
      <c r="C51" s="9">
        <f>IF($A51="","",$J50)</f>
        <v/>
      </c>
      <c r="D51" s="9">
        <f>IF($A51="","",IFERROR(MIN($H$3,$C51+$I51),""))</f>
        <v/>
      </c>
      <c r="E51" s="9">
        <f>IF($A51="","",IF($D$4="",0,$D$4))</f>
        <v/>
      </c>
      <c r="F51" s="16" t="n"/>
      <c r="G51" s="9">
        <f>IF($A51="","",IFERROR(MIN($C51+$I51,$D51+$E51+IF($F51="",0,$F51)),""))</f>
        <v/>
      </c>
      <c r="H51" s="9">
        <f>IF($A51="","",IFERROR(MAX(0,$G51-$I51),""))</f>
        <v/>
      </c>
      <c r="I51" s="9">
        <f>IF($A51="","",IFERROR($C51*$D$3/12,""))</f>
        <v/>
      </c>
      <c r="J51" s="9">
        <f>IF($A51="","",IFERROR(MAX(0,$C51-$H51),""))</f>
        <v/>
      </c>
      <c r="K51" s="14" t="n"/>
    </row>
    <row r="52">
      <c r="A52" s="29">
        <f>IF(OR($B$3="",$D$3="",$F$3="",$H$3="",$B$4="",46&gt;$F$3,$J51="",IFERROR($J51&lt;=0,TRUE)),"",46)</f>
        <v/>
      </c>
      <c r="B52" s="21">
        <f>IF($A52="","",IFERROR(EDATE($B$4,$A52-1),""))</f>
        <v/>
      </c>
      <c r="C52" s="10">
        <f>IF($A52="","",$J51)</f>
        <v/>
      </c>
      <c r="D52" s="10">
        <f>IF($A52="","",IFERROR(MIN($H$3,$C52+$I52),""))</f>
        <v/>
      </c>
      <c r="E52" s="10">
        <f>IF($A52="","",IF($D$4="",0,$D$4))</f>
        <v/>
      </c>
      <c r="F52" s="16" t="n"/>
      <c r="G52" s="10">
        <f>IF($A52="","",IFERROR(MIN($C52+$I52,$D52+$E52+IF($F52="",0,$F52)),""))</f>
        <v/>
      </c>
      <c r="H52" s="10">
        <f>IF($A52="","",IFERROR(MAX(0,$G52-$I52),""))</f>
        <v/>
      </c>
      <c r="I52" s="10">
        <f>IF($A52="","",IFERROR($C52*$D$3/12,""))</f>
        <v/>
      </c>
      <c r="J52" s="10">
        <f>IF($A52="","",IFERROR(MAX(0,$C52-$H52),""))</f>
        <v/>
      </c>
      <c r="K52" s="14" t="n"/>
    </row>
    <row r="53">
      <c r="A53" s="28">
        <f>IF(OR($B$3="",$D$3="",$F$3="",$H$3="",$B$4="",47&gt;$F$3,$J52="",IFERROR($J52&lt;=0,TRUE)),"",47)</f>
        <v/>
      </c>
      <c r="B53" s="19">
        <f>IF($A53="","",IFERROR(EDATE($B$4,$A53-1),""))</f>
        <v/>
      </c>
      <c r="C53" s="9">
        <f>IF($A53="","",$J52)</f>
        <v/>
      </c>
      <c r="D53" s="9">
        <f>IF($A53="","",IFERROR(MIN($H$3,$C53+$I53),""))</f>
        <v/>
      </c>
      <c r="E53" s="9">
        <f>IF($A53="","",IF($D$4="",0,$D$4))</f>
        <v/>
      </c>
      <c r="F53" s="16" t="n"/>
      <c r="G53" s="9">
        <f>IF($A53="","",IFERROR(MIN($C53+$I53,$D53+$E53+IF($F53="",0,$F53)),""))</f>
        <v/>
      </c>
      <c r="H53" s="9">
        <f>IF($A53="","",IFERROR(MAX(0,$G53-$I53),""))</f>
        <v/>
      </c>
      <c r="I53" s="9">
        <f>IF($A53="","",IFERROR($C53*$D$3/12,""))</f>
        <v/>
      </c>
      <c r="J53" s="9">
        <f>IF($A53="","",IFERROR(MAX(0,$C53-$H53),""))</f>
        <v/>
      </c>
      <c r="K53" s="14" t="n"/>
    </row>
    <row r="54">
      <c r="A54" s="29">
        <f>IF(OR($B$3="",$D$3="",$F$3="",$H$3="",$B$4="",48&gt;$F$3,$J53="",IFERROR($J53&lt;=0,TRUE)),"",48)</f>
        <v/>
      </c>
      <c r="B54" s="21">
        <f>IF($A54="","",IFERROR(EDATE($B$4,$A54-1),""))</f>
        <v/>
      </c>
      <c r="C54" s="10">
        <f>IF($A54="","",$J53)</f>
        <v/>
      </c>
      <c r="D54" s="10">
        <f>IF($A54="","",IFERROR(MIN($H$3,$C54+$I54),""))</f>
        <v/>
      </c>
      <c r="E54" s="10">
        <f>IF($A54="","",IF($D$4="",0,$D$4))</f>
        <v/>
      </c>
      <c r="F54" s="16" t="n"/>
      <c r="G54" s="10">
        <f>IF($A54="","",IFERROR(MIN($C54+$I54,$D54+$E54+IF($F54="",0,$F54)),""))</f>
        <v/>
      </c>
      <c r="H54" s="10">
        <f>IF($A54="","",IFERROR(MAX(0,$G54-$I54),""))</f>
        <v/>
      </c>
      <c r="I54" s="10">
        <f>IF($A54="","",IFERROR($C54*$D$3/12,""))</f>
        <v/>
      </c>
      <c r="J54" s="10">
        <f>IF($A54="","",IFERROR(MAX(0,$C54-$H54),""))</f>
        <v/>
      </c>
      <c r="K54" s="14" t="n"/>
    </row>
    <row r="55">
      <c r="A55" s="28">
        <f>IF(OR($B$3="",$D$3="",$F$3="",$H$3="",$B$4="",49&gt;$F$3,$J54="",IFERROR($J54&lt;=0,TRUE)),"",49)</f>
        <v/>
      </c>
      <c r="B55" s="19">
        <f>IF($A55="","",IFERROR(EDATE($B$4,$A55-1),""))</f>
        <v/>
      </c>
      <c r="C55" s="9">
        <f>IF($A55="","",$J54)</f>
        <v/>
      </c>
      <c r="D55" s="9">
        <f>IF($A55="","",IFERROR(MIN($H$3,$C55+$I55),""))</f>
        <v/>
      </c>
      <c r="E55" s="9">
        <f>IF($A55="","",IF($D$4="",0,$D$4))</f>
        <v/>
      </c>
      <c r="F55" s="16" t="n"/>
      <c r="G55" s="9">
        <f>IF($A55="","",IFERROR(MIN($C55+$I55,$D55+$E55+IF($F55="",0,$F55)),""))</f>
        <v/>
      </c>
      <c r="H55" s="9">
        <f>IF($A55="","",IFERROR(MAX(0,$G55-$I55),""))</f>
        <v/>
      </c>
      <c r="I55" s="9">
        <f>IF($A55="","",IFERROR($C55*$D$3/12,""))</f>
        <v/>
      </c>
      <c r="J55" s="9">
        <f>IF($A55="","",IFERROR(MAX(0,$C55-$H55),""))</f>
        <v/>
      </c>
      <c r="K55" s="14" t="n"/>
    </row>
    <row r="56">
      <c r="A56" s="29">
        <f>IF(OR($B$3="",$D$3="",$F$3="",$H$3="",$B$4="",50&gt;$F$3,$J55="",IFERROR($J55&lt;=0,TRUE)),"",50)</f>
        <v/>
      </c>
      <c r="B56" s="21">
        <f>IF($A56="","",IFERROR(EDATE($B$4,$A56-1),""))</f>
        <v/>
      </c>
      <c r="C56" s="10">
        <f>IF($A56="","",$J55)</f>
        <v/>
      </c>
      <c r="D56" s="10">
        <f>IF($A56="","",IFERROR(MIN($H$3,$C56+$I56),""))</f>
        <v/>
      </c>
      <c r="E56" s="10">
        <f>IF($A56="","",IF($D$4="",0,$D$4))</f>
        <v/>
      </c>
      <c r="F56" s="16" t="n"/>
      <c r="G56" s="10">
        <f>IF($A56="","",IFERROR(MIN($C56+$I56,$D56+$E56+IF($F56="",0,$F56)),""))</f>
        <v/>
      </c>
      <c r="H56" s="10">
        <f>IF($A56="","",IFERROR(MAX(0,$G56-$I56),""))</f>
        <v/>
      </c>
      <c r="I56" s="10">
        <f>IF($A56="","",IFERROR($C56*$D$3/12,""))</f>
        <v/>
      </c>
      <c r="J56" s="10">
        <f>IF($A56="","",IFERROR(MAX(0,$C56-$H56),""))</f>
        <v/>
      </c>
      <c r="K56" s="14" t="n"/>
    </row>
    <row r="57">
      <c r="A57" s="28">
        <f>IF(OR($B$3="",$D$3="",$F$3="",$H$3="",$B$4="",51&gt;$F$3,$J56="",IFERROR($J56&lt;=0,TRUE)),"",51)</f>
        <v/>
      </c>
      <c r="B57" s="19">
        <f>IF($A57="","",IFERROR(EDATE($B$4,$A57-1),""))</f>
        <v/>
      </c>
      <c r="C57" s="9">
        <f>IF($A57="","",$J56)</f>
        <v/>
      </c>
      <c r="D57" s="9">
        <f>IF($A57="","",IFERROR(MIN($H$3,$C57+$I57),""))</f>
        <v/>
      </c>
      <c r="E57" s="9">
        <f>IF($A57="","",IF($D$4="",0,$D$4))</f>
        <v/>
      </c>
      <c r="F57" s="16" t="n"/>
      <c r="G57" s="9">
        <f>IF($A57="","",IFERROR(MIN($C57+$I57,$D57+$E57+IF($F57="",0,$F57)),""))</f>
        <v/>
      </c>
      <c r="H57" s="9">
        <f>IF($A57="","",IFERROR(MAX(0,$G57-$I57),""))</f>
        <v/>
      </c>
      <c r="I57" s="9">
        <f>IF($A57="","",IFERROR($C57*$D$3/12,""))</f>
        <v/>
      </c>
      <c r="J57" s="9">
        <f>IF($A57="","",IFERROR(MAX(0,$C57-$H57),""))</f>
        <v/>
      </c>
      <c r="K57" s="14" t="n"/>
    </row>
    <row r="58">
      <c r="A58" s="29">
        <f>IF(OR($B$3="",$D$3="",$F$3="",$H$3="",$B$4="",52&gt;$F$3,$J57="",IFERROR($J57&lt;=0,TRUE)),"",52)</f>
        <v/>
      </c>
      <c r="B58" s="21">
        <f>IF($A58="","",IFERROR(EDATE($B$4,$A58-1),""))</f>
        <v/>
      </c>
      <c r="C58" s="10">
        <f>IF($A58="","",$J57)</f>
        <v/>
      </c>
      <c r="D58" s="10">
        <f>IF($A58="","",IFERROR(MIN($H$3,$C58+$I58),""))</f>
        <v/>
      </c>
      <c r="E58" s="10">
        <f>IF($A58="","",IF($D$4="",0,$D$4))</f>
        <v/>
      </c>
      <c r="F58" s="16" t="n"/>
      <c r="G58" s="10">
        <f>IF($A58="","",IFERROR(MIN($C58+$I58,$D58+$E58+IF($F58="",0,$F58)),""))</f>
        <v/>
      </c>
      <c r="H58" s="10">
        <f>IF($A58="","",IFERROR(MAX(0,$G58-$I58),""))</f>
        <v/>
      </c>
      <c r="I58" s="10">
        <f>IF($A58="","",IFERROR($C58*$D$3/12,""))</f>
        <v/>
      </c>
      <c r="J58" s="10">
        <f>IF($A58="","",IFERROR(MAX(0,$C58-$H58),""))</f>
        <v/>
      </c>
      <c r="K58" s="14" t="n"/>
    </row>
    <row r="59">
      <c r="A59" s="28">
        <f>IF(OR($B$3="",$D$3="",$F$3="",$H$3="",$B$4="",53&gt;$F$3,$J58="",IFERROR($J58&lt;=0,TRUE)),"",53)</f>
        <v/>
      </c>
      <c r="B59" s="19">
        <f>IF($A59="","",IFERROR(EDATE($B$4,$A59-1),""))</f>
        <v/>
      </c>
      <c r="C59" s="9">
        <f>IF($A59="","",$J58)</f>
        <v/>
      </c>
      <c r="D59" s="9">
        <f>IF($A59="","",IFERROR(MIN($H$3,$C59+$I59),""))</f>
        <v/>
      </c>
      <c r="E59" s="9">
        <f>IF($A59="","",IF($D$4="",0,$D$4))</f>
        <v/>
      </c>
      <c r="F59" s="16" t="n"/>
      <c r="G59" s="9">
        <f>IF($A59="","",IFERROR(MIN($C59+$I59,$D59+$E59+IF($F59="",0,$F59)),""))</f>
        <v/>
      </c>
      <c r="H59" s="9">
        <f>IF($A59="","",IFERROR(MAX(0,$G59-$I59),""))</f>
        <v/>
      </c>
      <c r="I59" s="9">
        <f>IF($A59="","",IFERROR($C59*$D$3/12,""))</f>
        <v/>
      </c>
      <c r="J59" s="9">
        <f>IF($A59="","",IFERROR(MAX(0,$C59-$H59),""))</f>
        <v/>
      </c>
      <c r="K59" s="14" t="n"/>
    </row>
    <row r="60">
      <c r="A60" s="29">
        <f>IF(OR($B$3="",$D$3="",$F$3="",$H$3="",$B$4="",54&gt;$F$3,$J59="",IFERROR($J59&lt;=0,TRUE)),"",54)</f>
        <v/>
      </c>
      <c r="B60" s="21">
        <f>IF($A60="","",IFERROR(EDATE($B$4,$A60-1),""))</f>
        <v/>
      </c>
      <c r="C60" s="10">
        <f>IF($A60="","",$J59)</f>
        <v/>
      </c>
      <c r="D60" s="10">
        <f>IF($A60="","",IFERROR(MIN($H$3,$C60+$I60),""))</f>
        <v/>
      </c>
      <c r="E60" s="10">
        <f>IF($A60="","",IF($D$4="",0,$D$4))</f>
        <v/>
      </c>
      <c r="F60" s="16" t="n"/>
      <c r="G60" s="10">
        <f>IF($A60="","",IFERROR(MIN($C60+$I60,$D60+$E60+IF($F60="",0,$F60)),""))</f>
        <v/>
      </c>
      <c r="H60" s="10">
        <f>IF($A60="","",IFERROR(MAX(0,$G60-$I60),""))</f>
        <v/>
      </c>
      <c r="I60" s="10">
        <f>IF($A60="","",IFERROR($C60*$D$3/12,""))</f>
        <v/>
      </c>
      <c r="J60" s="10">
        <f>IF($A60="","",IFERROR(MAX(0,$C60-$H60),""))</f>
        <v/>
      </c>
      <c r="K60" s="14" t="n"/>
    </row>
    <row r="61">
      <c r="A61" s="28">
        <f>IF(OR($B$3="",$D$3="",$F$3="",$H$3="",$B$4="",55&gt;$F$3,$J60="",IFERROR($J60&lt;=0,TRUE)),"",55)</f>
        <v/>
      </c>
      <c r="B61" s="19">
        <f>IF($A61="","",IFERROR(EDATE($B$4,$A61-1),""))</f>
        <v/>
      </c>
      <c r="C61" s="9">
        <f>IF($A61="","",$J60)</f>
        <v/>
      </c>
      <c r="D61" s="9">
        <f>IF($A61="","",IFERROR(MIN($H$3,$C61+$I61),""))</f>
        <v/>
      </c>
      <c r="E61" s="9">
        <f>IF($A61="","",IF($D$4="",0,$D$4))</f>
        <v/>
      </c>
      <c r="F61" s="16" t="n"/>
      <c r="G61" s="9">
        <f>IF($A61="","",IFERROR(MIN($C61+$I61,$D61+$E61+IF($F61="",0,$F61)),""))</f>
        <v/>
      </c>
      <c r="H61" s="9">
        <f>IF($A61="","",IFERROR(MAX(0,$G61-$I61),""))</f>
        <v/>
      </c>
      <c r="I61" s="9">
        <f>IF($A61="","",IFERROR($C61*$D$3/12,""))</f>
        <v/>
      </c>
      <c r="J61" s="9">
        <f>IF($A61="","",IFERROR(MAX(0,$C61-$H61),""))</f>
        <v/>
      </c>
      <c r="K61" s="14" t="n"/>
    </row>
    <row r="62">
      <c r="A62" s="29">
        <f>IF(OR($B$3="",$D$3="",$F$3="",$H$3="",$B$4="",56&gt;$F$3,$J61="",IFERROR($J61&lt;=0,TRUE)),"",56)</f>
        <v/>
      </c>
      <c r="B62" s="21">
        <f>IF($A62="","",IFERROR(EDATE($B$4,$A62-1),""))</f>
        <v/>
      </c>
      <c r="C62" s="10">
        <f>IF($A62="","",$J61)</f>
        <v/>
      </c>
      <c r="D62" s="10">
        <f>IF($A62="","",IFERROR(MIN($H$3,$C62+$I62),""))</f>
        <v/>
      </c>
      <c r="E62" s="10">
        <f>IF($A62="","",IF($D$4="",0,$D$4))</f>
        <v/>
      </c>
      <c r="F62" s="16" t="n"/>
      <c r="G62" s="10">
        <f>IF($A62="","",IFERROR(MIN($C62+$I62,$D62+$E62+IF($F62="",0,$F62)),""))</f>
        <v/>
      </c>
      <c r="H62" s="10">
        <f>IF($A62="","",IFERROR(MAX(0,$G62-$I62),""))</f>
        <v/>
      </c>
      <c r="I62" s="10">
        <f>IF($A62="","",IFERROR($C62*$D$3/12,""))</f>
        <v/>
      </c>
      <c r="J62" s="10">
        <f>IF($A62="","",IFERROR(MAX(0,$C62-$H62),""))</f>
        <v/>
      </c>
      <c r="K62" s="14" t="n"/>
    </row>
    <row r="63">
      <c r="A63" s="28">
        <f>IF(OR($B$3="",$D$3="",$F$3="",$H$3="",$B$4="",57&gt;$F$3,$J62="",IFERROR($J62&lt;=0,TRUE)),"",57)</f>
        <v/>
      </c>
      <c r="B63" s="19">
        <f>IF($A63="","",IFERROR(EDATE($B$4,$A63-1),""))</f>
        <v/>
      </c>
      <c r="C63" s="9">
        <f>IF($A63="","",$J62)</f>
        <v/>
      </c>
      <c r="D63" s="9">
        <f>IF($A63="","",IFERROR(MIN($H$3,$C63+$I63),""))</f>
        <v/>
      </c>
      <c r="E63" s="9">
        <f>IF($A63="","",IF($D$4="",0,$D$4))</f>
        <v/>
      </c>
      <c r="F63" s="16" t="n"/>
      <c r="G63" s="9">
        <f>IF($A63="","",IFERROR(MIN($C63+$I63,$D63+$E63+IF($F63="",0,$F63)),""))</f>
        <v/>
      </c>
      <c r="H63" s="9">
        <f>IF($A63="","",IFERROR(MAX(0,$G63-$I63),""))</f>
        <v/>
      </c>
      <c r="I63" s="9">
        <f>IF($A63="","",IFERROR($C63*$D$3/12,""))</f>
        <v/>
      </c>
      <c r="J63" s="9">
        <f>IF($A63="","",IFERROR(MAX(0,$C63-$H63),""))</f>
        <v/>
      </c>
      <c r="K63" s="14" t="n"/>
    </row>
    <row r="64">
      <c r="A64" s="29">
        <f>IF(OR($B$3="",$D$3="",$F$3="",$H$3="",$B$4="",58&gt;$F$3,$J63="",IFERROR($J63&lt;=0,TRUE)),"",58)</f>
        <v/>
      </c>
      <c r="B64" s="21">
        <f>IF($A64="","",IFERROR(EDATE($B$4,$A64-1),""))</f>
        <v/>
      </c>
      <c r="C64" s="10">
        <f>IF($A64="","",$J63)</f>
        <v/>
      </c>
      <c r="D64" s="10">
        <f>IF($A64="","",IFERROR(MIN($H$3,$C64+$I64),""))</f>
        <v/>
      </c>
      <c r="E64" s="10">
        <f>IF($A64="","",IF($D$4="",0,$D$4))</f>
        <v/>
      </c>
      <c r="F64" s="16" t="n"/>
      <c r="G64" s="10">
        <f>IF($A64="","",IFERROR(MIN($C64+$I64,$D64+$E64+IF($F64="",0,$F64)),""))</f>
        <v/>
      </c>
      <c r="H64" s="10">
        <f>IF($A64="","",IFERROR(MAX(0,$G64-$I64),""))</f>
        <v/>
      </c>
      <c r="I64" s="10">
        <f>IF($A64="","",IFERROR($C64*$D$3/12,""))</f>
        <v/>
      </c>
      <c r="J64" s="10">
        <f>IF($A64="","",IFERROR(MAX(0,$C64-$H64),""))</f>
        <v/>
      </c>
      <c r="K64" s="14" t="n"/>
    </row>
    <row r="65">
      <c r="A65" s="28">
        <f>IF(OR($B$3="",$D$3="",$F$3="",$H$3="",$B$4="",59&gt;$F$3,$J64="",IFERROR($J64&lt;=0,TRUE)),"",59)</f>
        <v/>
      </c>
      <c r="B65" s="19">
        <f>IF($A65="","",IFERROR(EDATE($B$4,$A65-1),""))</f>
        <v/>
      </c>
      <c r="C65" s="9">
        <f>IF($A65="","",$J64)</f>
        <v/>
      </c>
      <c r="D65" s="9">
        <f>IF($A65="","",IFERROR(MIN($H$3,$C65+$I65),""))</f>
        <v/>
      </c>
      <c r="E65" s="9">
        <f>IF($A65="","",IF($D$4="",0,$D$4))</f>
        <v/>
      </c>
      <c r="F65" s="16" t="n"/>
      <c r="G65" s="9">
        <f>IF($A65="","",IFERROR(MIN($C65+$I65,$D65+$E65+IF($F65="",0,$F65)),""))</f>
        <v/>
      </c>
      <c r="H65" s="9">
        <f>IF($A65="","",IFERROR(MAX(0,$G65-$I65),""))</f>
        <v/>
      </c>
      <c r="I65" s="9">
        <f>IF($A65="","",IFERROR($C65*$D$3/12,""))</f>
        <v/>
      </c>
      <c r="J65" s="9">
        <f>IF($A65="","",IFERROR(MAX(0,$C65-$H65),""))</f>
        <v/>
      </c>
      <c r="K65" s="14" t="n"/>
    </row>
    <row r="66">
      <c r="A66" s="29">
        <f>IF(OR($B$3="",$D$3="",$F$3="",$H$3="",$B$4="",60&gt;$F$3,$J65="",IFERROR($J65&lt;=0,TRUE)),"",60)</f>
        <v/>
      </c>
      <c r="B66" s="21">
        <f>IF($A66="","",IFERROR(EDATE($B$4,$A66-1),""))</f>
        <v/>
      </c>
      <c r="C66" s="10">
        <f>IF($A66="","",$J65)</f>
        <v/>
      </c>
      <c r="D66" s="10">
        <f>IF($A66="","",IFERROR(MIN($H$3,$C66+$I66),""))</f>
        <v/>
      </c>
      <c r="E66" s="10">
        <f>IF($A66="","",IF($D$4="",0,$D$4))</f>
        <v/>
      </c>
      <c r="F66" s="16" t="n"/>
      <c r="G66" s="10">
        <f>IF($A66="","",IFERROR(MIN($C66+$I66,$D66+$E66+IF($F66="",0,$F66)),""))</f>
        <v/>
      </c>
      <c r="H66" s="10">
        <f>IF($A66="","",IFERROR(MAX(0,$G66-$I66),""))</f>
        <v/>
      </c>
      <c r="I66" s="10">
        <f>IF($A66="","",IFERROR($C66*$D$3/12,""))</f>
        <v/>
      </c>
      <c r="J66" s="10">
        <f>IF($A66="","",IFERROR(MAX(0,$C66-$H66),""))</f>
        <v/>
      </c>
      <c r="K66" s="14" t="n"/>
    </row>
    <row r="67">
      <c r="A67" s="28">
        <f>IF(OR($B$3="",$D$3="",$F$3="",$H$3="",$B$4="",61&gt;$F$3,$J66="",IFERROR($J66&lt;=0,TRUE)),"",61)</f>
        <v/>
      </c>
      <c r="B67" s="19">
        <f>IF($A67="","",IFERROR(EDATE($B$4,$A67-1),""))</f>
        <v/>
      </c>
      <c r="C67" s="9">
        <f>IF($A67="","",$J66)</f>
        <v/>
      </c>
      <c r="D67" s="9">
        <f>IF($A67="","",IFERROR(MIN($H$3,$C67+$I67),""))</f>
        <v/>
      </c>
      <c r="E67" s="9">
        <f>IF($A67="","",IF($D$4="",0,$D$4))</f>
        <v/>
      </c>
      <c r="F67" s="16" t="n"/>
      <c r="G67" s="9">
        <f>IF($A67="","",IFERROR(MIN($C67+$I67,$D67+$E67+IF($F67="",0,$F67)),""))</f>
        <v/>
      </c>
      <c r="H67" s="9">
        <f>IF($A67="","",IFERROR(MAX(0,$G67-$I67),""))</f>
        <v/>
      </c>
      <c r="I67" s="9">
        <f>IF($A67="","",IFERROR($C67*$D$3/12,""))</f>
        <v/>
      </c>
      <c r="J67" s="9">
        <f>IF($A67="","",IFERROR(MAX(0,$C67-$H67),""))</f>
        <v/>
      </c>
      <c r="K67" s="14" t="n"/>
    </row>
    <row r="68">
      <c r="A68" s="29">
        <f>IF(OR($B$3="",$D$3="",$F$3="",$H$3="",$B$4="",62&gt;$F$3,$J67="",IFERROR($J67&lt;=0,TRUE)),"",62)</f>
        <v/>
      </c>
      <c r="B68" s="21">
        <f>IF($A68="","",IFERROR(EDATE($B$4,$A68-1),""))</f>
        <v/>
      </c>
      <c r="C68" s="10">
        <f>IF($A68="","",$J67)</f>
        <v/>
      </c>
      <c r="D68" s="10">
        <f>IF($A68="","",IFERROR(MIN($H$3,$C68+$I68),""))</f>
        <v/>
      </c>
      <c r="E68" s="10">
        <f>IF($A68="","",IF($D$4="",0,$D$4))</f>
        <v/>
      </c>
      <c r="F68" s="16" t="n"/>
      <c r="G68" s="10">
        <f>IF($A68="","",IFERROR(MIN($C68+$I68,$D68+$E68+IF($F68="",0,$F68)),""))</f>
        <v/>
      </c>
      <c r="H68" s="10">
        <f>IF($A68="","",IFERROR(MAX(0,$G68-$I68),""))</f>
        <v/>
      </c>
      <c r="I68" s="10">
        <f>IF($A68="","",IFERROR($C68*$D$3/12,""))</f>
        <v/>
      </c>
      <c r="J68" s="10">
        <f>IF($A68="","",IFERROR(MAX(0,$C68-$H68),""))</f>
        <v/>
      </c>
      <c r="K68" s="14" t="n"/>
    </row>
    <row r="69">
      <c r="A69" s="28">
        <f>IF(OR($B$3="",$D$3="",$F$3="",$H$3="",$B$4="",63&gt;$F$3,$J68="",IFERROR($J68&lt;=0,TRUE)),"",63)</f>
        <v/>
      </c>
      <c r="B69" s="19">
        <f>IF($A69="","",IFERROR(EDATE($B$4,$A69-1),""))</f>
        <v/>
      </c>
      <c r="C69" s="9">
        <f>IF($A69="","",$J68)</f>
        <v/>
      </c>
      <c r="D69" s="9">
        <f>IF($A69="","",IFERROR(MIN($H$3,$C69+$I69),""))</f>
        <v/>
      </c>
      <c r="E69" s="9">
        <f>IF($A69="","",IF($D$4="",0,$D$4))</f>
        <v/>
      </c>
      <c r="F69" s="16" t="n"/>
      <c r="G69" s="9">
        <f>IF($A69="","",IFERROR(MIN($C69+$I69,$D69+$E69+IF($F69="",0,$F69)),""))</f>
        <v/>
      </c>
      <c r="H69" s="9">
        <f>IF($A69="","",IFERROR(MAX(0,$G69-$I69),""))</f>
        <v/>
      </c>
      <c r="I69" s="9">
        <f>IF($A69="","",IFERROR($C69*$D$3/12,""))</f>
        <v/>
      </c>
      <c r="J69" s="9">
        <f>IF($A69="","",IFERROR(MAX(0,$C69-$H69),""))</f>
        <v/>
      </c>
      <c r="K69" s="14" t="n"/>
    </row>
    <row r="70">
      <c r="A70" s="29">
        <f>IF(OR($B$3="",$D$3="",$F$3="",$H$3="",$B$4="",64&gt;$F$3,$J69="",IFERROR($J69&lt;=0,TRUE)),"",64)</f>
        <v/>
      </c>
      <c r="B70" s="21">
        <f>IF($A70="","",IFERROR(EDATE($B$4,$A70-1),""))</f>
        <v/>
      </c>
      <c r="C70" s="10">
        <f>IF($A70="","",$J69)</f>
        <v/>
      </c>
      <c r="D70" s="10">
        <f>IF($A70="","",IFERROR(MIN($H$3,$C70+$I70),""))</f>
        <v/>
      </c>
      <c r="E70" s="10">
        <f>IF($A70="","",IF($D$4="",0,$D$4))</f>
        <v/>
      </c>
      <c r="F70" s="16" t="n"/>
      <c r="G70" s="10">
        <f>IF($A70="","",IFERROR(MIN($C70+$I70,$D70+$E70+IF($F70="",0,$F70)),""))</f>
        <v/>
      </c>
      <c r="H70" s="10">
        <f>IF($A70="","",IFERROR(MAX(0,$G70-$I70),""))</f>
        <v/>
      </c>
      <c r="I70" s="10">
        <f>IF($A70="","",IFERROR($C70*$D$3/12,""))</f>
        <v/>
      </c>
      <c r="J70" s="10">
        <f>IF($A70="","",IFERROR(MAX(0,$C70-$H70),""))</f>
        <v/>
      </c>
      <c r="K70" s="14" t="n"/>
    </row>
    <row r="71">
      <c r="A71" s="28">
        <f>IF(OR($B$3="",$D$3="",$F$3="",$H$3="",$B$4="",65&gt;$F$3,$J70="",IFERROR($J70&lt;=0,TRUE)),"",65)</f>
        <v/>
      </c>
      <c r="B71" s="19">
        <f>IF($A71="","",IFERROR(EDATE($B$4,$A71-1),""))</f>
        <v/>
      </c>
      <c r="C71" s="9">
        <f>IF($A71="","",$J70)</f>
        <v/>
      </c>
      <c r="D71" s="9">
        <f>IF($A71="","",IFERROR(MIN($H$3,$C71+$I71),""))</f>
        <v/>
      </c>
      <c r="E71" s="9">
        <f>IF($A71="","",IF($D$4="",0,$D$4))</f>
        <v/>
      </c>
      <c r="F71" s="16" t="n"/>
      <c r="G71" s="9">
        <f>IF($A71="","",IFERROR(MIN($C71+$I71,$D71+$E71+IF($F71="",0,$F71)),""))</f>
        <v/>
      </c>
      <c r="H71" s="9">
        <f>IF($A71="","",IFERROR(MAX(0,$G71-$I71),""))</f>
        <v/>
      </c>
      <c r="I71" s="9">
        <f>IF($A71="","",IFERROR($C71*$D$3/12,""))</f>
        <v/>
      </c>
      <c r="J71" s="9">
        <f>IF($A71="","",IFERROR(MAX(0,$C71-$H71),""))</f>
        <v/>
      </c>
      <c r="K71" s="14" t="n"/>
    </row>
    <row r="72">
      <c r="A72" s="29">
        <f>IF(OR($B$3="",$D$3="",$F$3="",$H$3="",$B$4="",66&gt;$F$3,$J71="",IFERROR($J71&lt;=0,TRUE)),"",66)</f>
        <v/>
      </c>
      <c r="B72" s="21">
        <f>IF($A72="","",IFERROR(EDATE($B$4,$A72-1),""))</f>
        <v/>
      </c>
      <c r="C72" s="10">
        <f>IF($A72="","",$J71)</f>
        <v/>
      </c>
      <c r="D72" s="10">
        <f>IF($A72="","",IFERROR(MIN($H$3,$C72+$I72),""))</f>
        <v/>
      </c>
      <c r="E72" s="10">
        <f>IF($A72="","",IF($D$4="",0,$D$4))</f>
        <v/>
      </c>
      <c r="F72" s="16" t="n"/>
      <c r="G72" s="10">
        <f>IF($A72="","",IFERROR(MIN($C72+$I72,$D72+$E72+IF($F72="",0,$F72)),""))</f>
        <v/>
      </c>
      <c r="H72" s="10">
        <f>IF($A72="","",IFERROR(MAX(0,$G72-$I72),""))</f>
        <v/>
      </c>
      <c r="I72" s="10">
        <f>IF($A72="","",IFERROR($C72*$D$3/12,""))</f>
        <v/>
      </c>
      <c r="J72" s="10">
        <f>IF($A72="","",IFERROR(MAX(0,$C72-$H72),""))</f>
        <v/>
      </c>
      <c r="K72" s="14" t="n"/>
    </row>
    <row r="73">
      <c r="A73" s="28">
        <f>IF(OR($B$3="",$D$3="",$F$3="",$H$3="",$B$4="",67&gt;$F$3,$J72="",IFERROR($J72&lt;=0,TRUE)),"",67)</f>
        <v/>
      </c>
      <c r="B73" s="19">
        <f>IF($A73="","",IFERROR(EDATE($B$4,$A73-1),""))</f>
        <v/>
      </c>
      <c r="C73" s="9">
        <f>IF($A73="","",$J72)</f>
        <v/>
      </c>
      <c r="D73" s="9">
        <f>IF($A73="","",IFERROR(MIN($H$3,$C73+$I73),""))</f>
        <v/>
      </c>
      <c r="E73" s="9">
        <f>IF($A73="","",IF($D$4="",0,$D$4))</f>
        <v/>
      </c>
      <c r="F73" s="16" t="n"/>
      <c r="G73" s="9">
        <f>IF($A73="","",IFERROR(MIN($C73+$I73,$D73+$E73+IF($F73="",0,$F73)),""))</f>
        <v/>
      </c>
      <c r="H73" s="9">
        <f>IF($A73="","",IFERROR(MAX(0,$G73-$I73),""))</f>
        <v/>
      </c>
      <c r="I73" s="9">
        <f>IF($A73="","",IFERROR($C73*$D$3/12,""))</f>
        <v/>
      </c>
      <c r="J73" s="9">
        <f>IF($A73="","",IFERROR(MAX(0,$C73-$H73),""))</f>
        <v/>
      </c>
      <c r="K73" s="14" t="n"/>
    </row>
    <row r="74">
      <c r="A74" s="29">
        <f>IF(OR($B$3="",$D$3="",$F$3="",$H$3="",$B$4="",68&gt;$F$3,$J73="",IFERROR($J73&lt;=0,TRUE)),"",68)</f>
        <v/>
      </c>
      <c r="B74" s="21">
        <f>IF($A74="","",IFERROR(EDATE($B$4,$A74-1),""))</f>
        <v/>
      </c>
      <c r="C74" s="10">
        <f>IF($A74="","",$J73)</f>
        <v/>
      </c>
      <c r="D74" s="10">
        <f>IF($A74="","",IFERROR(MIN($H$3,$C74+$I74),""))</f>
        <v/>
      </c>
      <c r="E74" s="10">
        <f>IF($A74="","",IF($D$4="",0,$D$4))</f>
        <v/>
      </c>
      <c r="F74" s="16" t="n"/>
      <c r="G74" s="10">
        <f>IF($A74="","",IFERROR(MIN($C74+$I74,$D74+$E74+IF($F74="",0,$F74)),""))</f>
        <v/>
      </c>
      <c r="H74" s="10">
        <f>IF($A74="","",IFERROR(MAX(0,$G74-$I74),""))</f>
        <v/>
      </c>
      <c r="I74" s="10">
        <f>IF($A74="","",IFERROR($C74*$D$3/12,""))</f>
        <v/>
      </c>
      <c r="J74" s="10">
        <f>IF($A74="","",IFERROR(MAX(0,$C74-$H74),""))</f>
        <v/>
      </c>
      <c r="K74" s="14" t="n"/>
    </row>
    <row r="75">
      <c r="A75" s="28">
        <f>IF(OR($B$3="",$D$3="",$F$3="",$H$3="",$B$4="",69&gt;$F$3,$J74="",IFERROR($J74&lt;=0,TRUE)),"",69)</f>
        <v/>
      </c>
      <c r="B75" s="19">
        <f>IF($A75="","",IFERROR(EDATE($B$4,$A75-1),""))</f>
        <v/>
      </c>
      <c r="C75" s="9">
        <f>IF($A75="","",$J74)</f>
        <v/>
      </c>
      <c r="D75" s="9">
        <f>IF($A75="","",IFERROR(MIN($H$3,$C75+$I75),""))</f>
        <v/>
      </c>
      <c r="E75" s="9">
        <f>IF($A75="","",IF($D$4="",0,$D$4))</f>
        <v/>
      </c>
      <c r="F75" s="16" t="n"/>
      <c r="G75" s="9">
        <f>IF($A75="","",IFERROR(MIN($C75+$I75,$D75+$E75+IF($F75="",0,$F75)),""))</f>
        <v/>
      </c>
      <c r="H75" s="9">
        <f>IF($A75="","",IFERROR(MAX(0,$G75-$I75),""))</f>
        <v/>
      </c>
      <c r="I75" s="9">
        <f>IF($A75="","",IFERROR($C75*$D$3/12,""))</f>
        <v/>
      </c>
      <c r="J75" s="9">
        <f>IF($A75="","",IFERROR(MAX(0,$C75-$H75),""))</f>
        <v/>
      </c>
      <c r="K75" s="14" t="n"/>
    </row>
    <row r="76">
      <c r="A76" s="29">
        <f>IF(OR($B$3="",$D$3="",$F$3="",$H$3="",$B$4="",70&gt;$F$3,$J75="",IFERROR($J75&lt;=0,TRUE)),"",70)</f>
        <v/>
      </c>
      <c r="B76" s="21">
        <f>IF($A76="","",IFERROR(EDATE($B$4,$A76-1),""))</f>
        <v/>
      </c>
      <c r="C76" s="10">
        <f>IF($A76="","",$J75)</f>
        <v/>
      </c>
      <c r="D76" s="10">
        <f>IF($A76="","",IFERROR(MIN($H$3,$C76+$I76),""))</f>
        <v/>
      </c>
      <c r="E76" s="10">
        <f>IF($A76="","",IF($D$4="",0,$D$4))</f>
        <v/>
      </c>
      <c r="F76" s="16" t="n"/>
      <c r="G76" s="10">
        <f>IF($A76="","",IFERROR(MIN($C76+$I76,$D76+$E76+IF($F76="",0,$F76)),""))</f>
        <v/>
      </c>
      <c r="H76" s="10">
        <f>IF($A76="","",IFERROR(MAX(0,$G76-$I76),""))</f>
        <v/>
      </c>
      <c r="I76" s="10">
        <f>IF($A76="","",IFERROR($C76*$D$3/12,""))</f>
        <v/>
      </c>
      <c r="J76" s="10">
        <f>IF($A76="","",IFERROR(MAX(0,$C76-$H76),""))</f>
        <v/>
      </c>
      <c r="K76" s="14" t="n"/>
    </row>
    <row r="77">
      <c r="A77" s="28">
        <f>IF(OR($B$3="",$D$3="",$F$3="",$H$3="",$B$4="",71&gt;$F$3,$J76="",IFERROR($J76&lt;=0,TRUE)),"",71)</f>
        <v/>
      </c>
      <c r="B77" s="19">
        <f>IF($A77="","",IFERROR(EDATE($B$4,$A77-1),""))</f>
        <v/>
      </c>
      <c r="C77" s="9">
        <f>IF($A77="","",$J76)</f>
        <v/>
      </c>
      <c r="D77" s="9">
        <f>IF($A77="","",IFERROR(MIN($H$3,$C77+$I77),""))</f>
        <v/>
      </c>
      <c r="E77" s="9">
        <f>IF($A77="","",IF($D$4="",0,$D$4))</f>
        <v/>
      </c>
      <c r="F77" s="16" t="n"/>
      <c r="G77" s="9">
        <f>IF($A77="","",IFERROR(MIN($C77+$I77,$D77+$E77+IF($F77="",0,$F77)),""))</f>
        <v/>
      </c>
      <c r="H77" s="9">
        <f>IF($A77="","",IFERROR(MAX(0,$G77-$I77),""))</f>
        <v/>
      </c>
      <c r="I77" s="9">
        <f>IF($A77="","",IFERROR($C77*$D$3/12,""))</f>
        <v/>
      </c>
      <c r="J77" s="9">
        <f>IF($A77="","",IFERROR(MAX(0,$C77-$H77),""))</f>
        <v/>
      </c>
      <c r="K77" s="14" t="n"/>
    </row>
    <row r="78">
      <c r="A78" s="29">
        <f>IF(OR($B$3="",$D$3="",$F$3="",$H$3="",$B$4="",72&gt;$F$3,$J77="",IFERROR($J77&lt;=0,TRUE)),"",72)</f>
        <v/>
      </c>
      <c r="B78" s="21">
        <f>IF($A78="","",IFERROR(EDATE($B$4,$A78-1),""))</f>
        <v/>
      </c>
      <c r="C78" s="10">
        <f>IF($A78="","",$J77)</f>
        <v/>
      </c>
      <c r="D78" s="10">
        <f>IF($A78="","",IFERROR(MIN($H$3,$C78+$I78),""))</f>
        <v/>
      </c>
      <c r="E78" s="10">
        <f>IF($A78="","",IF($D$4="",0,$D$4))</f>
        <v/>
      </c>
      <c r="F78" s="16" t="n"/>
      <c r="G78" s="10">
        <f>IF($A78="","",IFERROR(MIN($C78+$I78,$D78+$E78+IF($F78="",0,$F78)),""))</f>
        <v/>
      </c>
      <c r="H78" s="10">
        <f>IF($A78="","",IFERROR(MAX(0,$G78-$I78),""))</f>
        <v/>
      </c>
      <c r="I78" s="10">
        <f>IF($A78="","",IFERROR($C78*$D$3/12,""))</f>
        <v/>
      </c>
      <c r="J78" s="10">
        <f>IF($A78="","",IFERROR(MAX(0,$C78-$H78),""))</f>
        <v/>
      </c>
      <c r="K78" s="14" t="n"/>
    </row>
    <row r="79">
      <c r="A79" s="28">
        <f>IF(OR($B$3="",$D$3="",$F$3="",$H$3="",$B$4="",73&gt;$F$3,$J78="",IFERROR($J78&lt;=0,TRUE)),"",73)</f>
        <v/>
      </c>
      <c r="B79" s="19">
        <f>IF($A79="","",IFERROR(EDATE($B$4,$A79-1),""))</f>
        <v/>
      </c>
      <c r="C79" s="9">
        <f>IF($A79="","",$J78)</f>
        <v/>
      </c>
      <c r="D79" s="9">
        <f>IF($A79="","",IFERROR(MIN($H$3,$C79+$I79),""))</f>
        <v/>
      </c>
      <c r="E79" s="9">
        <f>IF($A79="","",IF($D$4="",0,$D$4))</f>
        <v/>
      </c>
      <c r="F79" s="16" t="n"/>
      <c r="G79" s="9">
        <f>IF($A79="","",IFERROR(MIN($C79+$I79,$D79+$E79+IF($F79="",0,$F79)),""))</f>
        <v/>
      </c>
      <c r="H79" s="9">
        <f>IF($A79="","",IFERROR(MAX(0,$G79-$I79),""))</f>
        <v/>
      </c>
      <c r="I79" s="9">
        <f>IF($A79="","",IFERROR($C79*$D$3/12,""))</f>
        <v/>
      </c>
      <c r="J79" s="9">
        <f>IF($A79="","",IFERROR(MAX(0,$C79-$H79),""))</f>
        <v/>
      </c>
      <c r="K79" s="14" t="n"/>
    </row>
    <row r="80">
      <c r="A80" s="29">
        <f>IF(OR($B$3="",$D$3="",$F$3="",$H$3="",$B$4="",74&gt;$F$3,$J79="",IFERROR($J79&lt;=0,TRUE)),"",74)</f>
        <v/>
      </c>
      <c r="B80" s="21">
        <f>IF($A80="","",IFERROR(EDATE($B$4,$A80-1),""))</f>
        <v/>
      </c>
      <c r="C80" s="10">
        <f>IF($A80="","",$J79)</f>
        <v/>
      </c>
      <c r="D80" s="10">
        <f>IF($A80="","",IFERROR(MIN($H$3,$C80+$I80),""))</f>
        <v/>
      </c>
      <c r="E80" s="10">
        <f>IF($A80="","",IF($D$4="",0,$D$4))</f>
        <v/>
      </c>
      <c r="F80" s="16" t="n"/>
      <c r="G80" s="10">
        <f>IF($A80="","",IFERROR(MIN($C80+$I80,$D80+$E80+IF($F80="",0,$F80)),""))</f>
        <v/>
      </c>
      <c r="H80" s="10">
        <f>IF($A80="","",IFERROR(MAX(0,$G80-$I80),""))</f>
        <v/>
      </c>
      <c r="I80" s="10">
        <f>IF($A80="","",IFERROR($C80*$D$3/12,""))</f>
        <v/>
      </c>
      <c r="J80" s="10">
        <f>IF($A80="","",IFERROR(MAX(0,$C80-$H80),""))</f>
        <v/>
      </c>
      <c r="K80" s="14" t="n"/>
    </row>
    <row r="81">
      <c r="A81" s="28">
        <f>IF(OR($B$3="",$D$3="",$F$3="",$H$3="",$B$4="",75&gt;$F$3,$J80="",IFERROR($J80&lt;=0,TRUE)),"",75)</f>
        <v/>
      </c>
      <c r="B81" s="19">
        <f>IF($A81="","",IFERROR(EDATE($B$4,$A81-1),""))</f>
        <v/>
      </c>
      <c r="C81" s="9">
        <f>IF($A81="","",$J80)</f>
        <v/>
      </c>
      <c r="D81" s="9">
        <f>IF($A81="","",IFERROR(MIN($H$3,$C81+$I81),""))</f>
        <v/>
      </c>
      <c r="E81" s="9">
        <f>IF($A81="","",IF($D$4="",0,$D$4))</f>
        <v/>
      </c>
      <c r="F81" s="16" t="n"/>
      <c r="G81" s="9">
        <f>IF($A81="","",IFERROR(MIN($C81+$I81,$D81+$E81+IF($F81="",0,$F81)),""))</f>
        <v/>
      </c>
      <c r="H81" s="9">
        <f>IF($A81="","",IFERROR(MAX(0,$G81-$I81),""))</f>
        <v/>
      </c>
      <c r="I81" s="9">
        <f>IF($A81="","",IFERROR($C81*$D$3/12,""))</f>
        <v/>
      </c>
      <c r="J81" s="9">
        <f>IF($A81="","",IFERROR(MAX(0,$C81-$H81),""))</f>
        <v/>
      </c>
      <c r="K81" s="14" t="n"/>
    </row>
    <row r="82">
      <c r="A82" s="29">
        <f>IF(OR($B$3="",$D$3="",$F$3="",$H$3="",$B$4="",76&gt;$F$3,$J81="",IFERROR($J81&lt;=0,TRUE)),"",76)</f>
        <v/>
      </c>
      <c r="B82" s="21">
        <f>IF($A82="","",IFERROR(EDATE($B$4,$A82-1),""))</f>
        <v/>
      </c>
      <c r="C82" s="10">
        <f>IF($A82="","",$J81)</f>
        <v/>
      </c>
      <c r="D82" s="10">
        <f>IF($A82="","",IFERROR(MIN($H$3,$C82+$I82),""))</f>
        <v/>
      </c>
      <c r="E82" s="10">
        <f>IF($A82="","",IF($D$4="",0,$D$4))</f>
        <v/>
      </c>
      <c r="F82" s="16" t="n"/>
      <c r="G82" s="10">
        <f>IF($A82="","",IFERROR(MIN($C82+$I82,$D82+$E82+IF($F82="",0,$F82)),""))</f>
        <v/>
      </c>
      <c r="H82" s="10">
        <f>IF($A82="","",IFERROR(MAX(0,$G82-$I82),""))</f>
        <v/>
      </c>
      <c r="I82" s="10">
        <f>IF($A82="","",IFERROR($C82*$D$3/12,""))</f>
        <v/>
      </c>
      <c r="J82" s="10">
        <f>IF($A82="","",IFERROR(MAX(0,$C82-$H82),""))</f>
        <v/>
      </c>
      <c r="K82" s="14" t="n"/>
    </row>
    <row r="83">
      <c r="A83" s="28">
        <f>IF(OR($B$3="",$D$3="",$F$3="",$H$3="",$B$4="",77&gt;$F$3,$J82="",IFERROR($J82&lt;=0,TRUE)),"",77)</f>
        <v/>
      </c>
      <c r="B83" s="19">
        <f>IF($A83="","",IFERROR(EDATE($B$4,$A83-1),""))</f>
        <v/>
      </c>
      <c r="C83" s="9">
        <f>IF($A83="","",$J82)</f>
        <v/>
      </c>
      <c r="D83" s="9">
        <f>IF($A83="","",IFERROR(MIN($H$3,$C83+$I83),""))</f>
        <v/>
      </c>
      <c r="E83" s="9">
        <f>IF($A83="","",IF($D$4="",0,$D$4))</f>
        <v/>
      </c>
      <c r="F83" s="16" t="n"/>
      <c r="G83" s="9">
        <f>IF($A83="","",IFERROR(MIN($C83+$I83,$D83+$E83+IF($F83="",0,$F83)),""))</f>
        <v/>
      </c>
      <c r="H83" s="9">
        <f>IF($A83="","",IFERROR(MAX(0,$G83-$I83),""))</f>
        <v/>
      </c>
      <c r="I83" s="9">
        <f>IF($A83="","",IFERROR($C83*$D$3/12,""))</f>
        <v/>
      </c>
      <c r="J83" s="9">
        <f>IF($A83="","",IFERROR(MAX(0,$C83-$H83),""))</f>
        <v/>
      </c>
      <c r="K83" s="14" t="n"/>
    </row>
    <row r="84">
      <c r="A84" s="29">
        <f>IF(OR($B$3="",$D$3="",$F$3="",$H$3="",$B$4="",78&gt;$F$3,$J83="",IFERROR($J83&lt;=0,TRUE)),"",78)</f>
        <v/>
      </c>
      <c r="B84" s="21">
        <f>IF($A84="","",IFERROR(EDATE($B$4,$A84-1),""))</f>
        <v/>
      </c>
      <c r="C84" s="10">
        <f>IF($A84="","",$J83)</f>
        <v/>
      </c>
      <c r="D84" s="10">
        <f>IF($A84="","",IFERROR(MIN($H$3,$C84+$I84),""))</f>
        <v/>
      </c>
      <c r="E84" s="10">
        <f>IF($A84="","",IF($D$4="",0,$D$4))</f>
        <v/>
      </c>
      <c r="F84" s="16" t="n"/>
      <c r="G84" s="10">
        <f>IF($A84="","",IFERROR(MIN($C84+$I84,$D84+$E84+IF($F84="",0,$F84)),""))</f>
        <v/>
      </c>
      <c r="H84" s="10">
        <f>IF($A84="","",IFERROR(MAX(0,$G84-$I84),""))</f>
        <v/>
      </c>
      <c r="I84" s="10">
        <f>IF($A84="","",IFERROR($C84*$D$3/12,""))</f>
        <v/>
      </c>
      <c r="J84" s="10">
        <f>IF($A84="","",IFERROR(MAX(0,$C84-$H84),""))</f>
        <v/>
      </c>
      <c r="K84" s="14" t="n"/>
    </row>
    <row r="85">
      <c r="A85" s="28">
        <f>IF(OR($B$3="",$D$3="",$F$3="",$H$3="",$B$4="",79&gt;$F$3,$J84="",IFERROR($J84&lt;=0,TRUE)),"",79)</f>
        <v/>
      </c>
      <c r="B85" s="19">
        <f>IF($A85="","",IFERROR(EDATE($B$4,$A85-1),""))</f>
        <v/>
      </c>
      <c r="C85" s="9">
        <f>IF($A85="","",$J84)</f>
        <v/>
      </c>
      <c r="D85" s="9">
        <f>IF($A85="","",IFERROR(MIN($H$3,$C85+$I85),""))</f>
        <v/>
      </c>
      <c r="E85" s="9">
        <f>IF($A85="","",IF($D$4="",0,$D$4))</f>
        <v/>
      </c>
      <c r="F85" s="16" t="n"/>
      <c r="G85" s="9">
        <f>IF($A85="","",IFERROR(MIN($C85+$I85,$D85+$E85+IF($F85="",0,$F85)),""))</f>
        <v/>
      </c>
      <c r="H85" s="9">
        <f>IF($A85="","",IFERROR(MAX(0,$G85-$I85),""))</f>
        <v/>
      </c>
      <c r="I85" s="9">
        <f>IF($A85="","",IFERROR($C85*$D$3/12,""))</f>
        <v/>
      </c>
      <c r="J85" s="9">
        <f>IF($A85="","",IFERROR(MAX(0,$C85-$H85),""))</f>
        <v/>
      </c>
      <c r="K85" s="14" t="n"/>
    </row>
    <row r="86">
      <c r="A86" s="29">
        <f>IF(OR($B$3="",$D$3="",$F$3="",$H$3="",$B$4="",80&gt;$F$3,$J85="",IFERROR($J85&lt;=0,TRUE)),"",80)</f>
        <v/>
      </c>
      <c r="B86" s="21">
        <f>IF($A86="","",IFERROR(EDATE($B$4,$A86-1),""))</f>
        <v/>
      </c>
      <c r="C86" s="10">
        <f>IF($A86="","",$J85)</f>
        <v/>
      </c>
      <c r="D86" s="10">
        <f>IF($A86="","",IFERROR(MIN($H$3,$C86+$I86),""))</f>
        <v/>
      </c>
      <c r="E86" s="10">
        <f>IF($A86="","",IF($D$4="",0,$D$4))</f>
        <v/>
      </c>
      <c r="F86" s="16" t="n"/>
      <c r="G86" s="10">
        <f>IF($A86="","",IFERROR(MIN($C86+$I86,$D86+$E86+IF($F86="",0,$F86)),""))</f>
        <v/>
      </c>
      <c r="H86" s="10">
        <f>IF($A86="","",IFERROR(MAX(0,$G86-$I86),""))</f>
        <v/>
      </c>
      <c r="I86" s="10">
        <f>IF($A86="","",IFERROR($C86*$D$3/12,""))</f>
        <v/>
      </c>
      <c r="J86" s="10">
        <f>IF($A86="","",IFERROR(MAX(0,$C86-$H86),""))</f>
        <v/>
      </c>
      <c r="K86" s="14" t="n"/>
    </row>
    <row r="87">
      <c r="A87" s="28">
        <f>IF(OR($B$3="",$D$3="",$F$3="",$H$3="",$B$4="",81&gt;$F$3,$J86="",IFERROR($J86&lt;=0,TRUE)),"",81)</f>
        <v/>
      </c>
      <c r="B87" s="19">
        <f>IF($A87="","",IFERROR(EDATE($B$4,$A87-1),""))</f>
        <v/>
      </c>
      <c r="C87" s="9">
        <f>IF($A87="","",$J86)</f>
        <v/>
      </c>
      <c r="D87" s="9">
        <f>IF($A87="","",IFERROR(MIN($H$3,$C87+$I87),""))</f>
        <v/>
      </c>
      <c r="E87" s="9">
        <f>IF($A87="","",IF($D$4="",0,$D$4))</f>
        <v/>
      </c>
      <c r="F87" s="16" t="n"/>
      <c r="G87" s="9">
        <f>IF($A87="","",IFERROR(MIN($C87+$I87,$D87+$E87+IF($F87="",0,$F87)),""))</f>
        <v/>
      </c>
      <c r="H87" s="9">
        <f>IF($A87="","",IFERROR(MAX(0,$G87-$I87),""))</f>
        <v/>
      </c>
      <c r="I87" s="9">
        <f>IF($A87="","",IFERROR($C87*$D$3/12,""))</f>
        <v/>
      </c>
      <c r="J87" s="9">
        <f>IF($A87="","",IFERROR(MAX(0,$C87-$H87),""))</f>
        <v/>
      </c>
      <c r="K87" s="14" t="n"/>
    </row>
    <row r="88">
      <c r="A88" s="29">
        <f>IF(OR($B$3="",$D$3="",$F$3="",$H$3="",$B$4="",82&gt;$F$3,$J87="",IFERROR($J87&lt;=0,TRUE)),"",82)</f>
        <v/>
      </c>
      <c r="B88" s="21">
        <f>IF($A88="","",IFERROR(EDATE($B$4,$A88-1),""))</f>
        <v/>
      </c>
      <c r="C88" s="10">
        <f>IF($A88="","",$J87)</f>
        <v/>
      </c>
      <c r="D88" s="10">
        <f>IF($A88="","",IFERROR(MIN($H$3,$C88+$I88),""))</f>
        <v/>
      </c>
      <c r="E88" s="10">
        <f>IF($A88="","",IF($D$4="",0,$D$4))</f>
        <v/>
      </c>
      <c r="F88" s="16" t="n"/>
      <c r="G88" s="10">
        <f>IF($A88="","",IFERROR(MIN($C88+$I88,$D88+$E88+IF($F88="",0,$F88)),""))</f>
        <v/>
      </c>
      <c r="H88" s="10">
        <f>IF($A88="","",IFERROR(MAX(0,$G88-$I88),""))</f>
        <v/>
      </c>
      <c r="I88" s="10">
        <f>IF($A88="","",IFERROR($C88*$D$3/12,""))</f>
        <v/>
      </c>
      <c r="J88" s="10">
        <f>IF($A88="","",IFERROR(MAX(0,$C88-$H88),""))</f>
        <v/>
      </c>
      <c r="K88" s="14" t="n"/>
    </row>
    <row r="89">
      <c r="A89" s="28">
        <f>IF(OR($B$3="",$D$3="",$F$3="",$H$3="",$B$4="",83&gt;$F$3,$J88="",IFERROR($J88&lt;=0,TRUE)),"",83)</f>
        <v/>
      </c>
      <c r="B89" s="19">
        <f>IF($A89="","",IFERROR(EDATE($B$4,$A89-1),""))</f>
        <v/>
      </c>
      <c r="C89" s="9">
        <f>IF($A89="","",$J88)</f>
        <v/>
      </c>
      <c r="D89" s="9">
        <f>IF($A89="","",IFERROR(MIN($H$3,$C89+$I89),""))</f>
        <v/>
      </c>
      <c r="E89" s="9">
        <f>IF($A89="","",IF($D$4="",0,$D$4))</f>
        <v/>
      </c>
      <c r="F89" s="16" t="n"/>
      <c r="G89" s="9">
        <f>IF($A89="","",IFERROR(MIN($C89+$I89,$D89+$E89+IF($F89="",0,$F89)),""))</f>
        <v/>
      </c>
      <c r="H89" s="9">
        <f>IF($A89="","",IFERROR(MAX(0,$G89-$I89),""))</f>
        <v/>
      </c>
      <c r="I89" s="9">
        <f>IF($A89="","",IFERROR($C89*$D$3/12,""))</f>
        <v/>
      </c>
      <c r="J89" s="9">
        <f>IF($A89="","",IFERROR(MAX(0,$C89-$H89),""))</f>
        <v/>
      </c>
      <c r="K89" s="14" t="n"/>
    </row>
    <row r="90">
      <c r="A90" s="29">
        <f>IF(OR($B$3="",$D$3="",$F$3="",$H$3="",$B$4="",84&gt;$F$3,$J89="",IFERROR($J89&lt;=0,TRUE)),"",84)</f>
        <v/>
      </c>
      <c r="B90" s="21">
        <f>IF($A90="","",IFERROR(EDATE($B$4,$A90-1),""))</f>
        <v/>
      </c>
      <c r="C90" s="10">
        <f>IF($A90="","",$J89)</f>
        <v/>
      </c>
      <c r="D90" s="10">
        <f>IF($A90="","",IFERROR(MIN($H$3,$C90+$I90),""))</f>
        <v/>
      </c>
      <c r="E90" s="10">
        <f>IF($A90="","",IF($D$4="",0,$D$4))</f>
        <v/>
      </c>
      <c r="F90" s="16" t="n"/>
      <c r="G90" s="10">
        <f>IF($A90="","",IFERROR(MIN($C90+$I90,$D90+$E90+IF($F90="",0,$F90)),""))</f>
        <v/>
      </c>
      <c r="H90" s="10">
        <f>IF($A90="","",IFERROR(MAX(0,$G90-$I90),""))</f>
        <v/>
      </c>
      <c r="I90" s="10">
        <f>IF($A90="","",IFERROR($C90*$D$3/12,""))</f>
        <v/>
      </c>
      <c r="J90" s="10">
        <f>IF($A90="","",IFERROR(MAX(0,$C90-$H90),""))</f>
        <v/>
      </c>
      <c r="K90" s="14" t="n"/>
    </row>
    <row r="91">
      <c r="A91" s="28">
        <f>IF(OR($B$3="",$D$3="",$F$3="",$H$3="",$B$4="",85&gt;$F$3,$J90="",IFERROR($J90&lt;=0,TRUE)),"",85)</f>
        <v/>
      </c>
      <c r="B91" s="19">
        <f>IF($A91="","",IFERROR(EDATE($B$4,$A91-1),""))</f>
        <v/>
      </c>
      <c r="C91" s="9">
        <f>IF($A91="","",$J90)</f>
        <v/>
      </c>
      <c r="D91" s="9">
        <f>IF($A91="","",IFERROR(MIN($H$3,$C91+$I91),""))</f>
        <v/>
      </c>
      <c r="E91" s="9">
        <f>IF($A91="","",IF($D$4="",0,$D$4))</f>
        <v/>
      </c>
      <c r="F91" s="16" t="n"/>
      <c r="G91" s="9">
        <f>IF($A91="","",IFERROR(MIN($C91+$I91,$D91+$E91+IF($F91="",0,$F91)),""))</f>
        <v/>
      </c>
      <c r="H91" s="9">
        <f>IF($A91="","",IFERROR(MAX(0,$G91-$I91),""))</f>
        <v/>
      </c>
      <c r="I91" s="9">
        <f>IF($A91="","",IFERROR($C91*$D$3/12,""))</f>
        <v/>
      </c>
      <c r="J91" s="9">
        <f>IF($A91="","",IFERROR(MAX(0,$C91-$H91),""))</f>
        <v/>
      </c>
      <c r="K91" s="14" t="n"/>
    </row>
    <row r="92">
      <c r="A92" s="29">
        <f>IF(OR($B$3="",$D$3="",$F$3="",$H$3="",$B$4="",86&gt;$F$3,$J91="",IFERROR($J91&lt;=0,TRUE)),"",86)</f>
        <v/>
      </c>
      <c r="B92" s="21">
        <f>IF($A92="","",IFERROR(EDATE($B$4,$A92-1),""))</f>
        <v/>
      </c>
      <c r="C92" s="10">
        <f>IF($A92="","",$J91)</f>
        <v/>
      </c>
      <c r="D92" s="10">
        <f>IF($A92="","",IFERROR(MIN($H$3,$C92+$I92),""))</f>
        <v/>
      </c>
      <c r="E92" s="10">
        <f>IF($A92="","",IF($D$4="",0,$D$4))</f>
        <v/>
      </c>
      <c r="F92" s="16" t="n"/>
      <c r="G92" s="10">
        <f>IF($A92="","",IFERROR(MIN($C92+$I92,$D92+$E92+IF($F92="",0,$F92)),""))</f>
        <v/>
      </c>
      <c r="H92" s="10">
        <f>IF($A92="","",IFERROR(MAX(0,$G92-$I92),""))</f>
        <v/>
      </c>
      <c r="I92" s="10">
        <f>IF($A92="","",IFERROR($C92*$D$3/12,""))</f>
        <v/>
      </c>
      <c r="J92" s="10">
        <f>IF($A92="","",IFERROR(MAX(0,$C92-$H92),""))</f>
        <v/>
      </c>
      <c r="K92" s="14" t="n"/>
    </row>
    <row r="93">
      <c r="A93" s="28">
        <f>IF(OR($B$3="",$D$3="",$F$3="",$H$3="",$B$4="",87&gt;$F$3,$J92="",IFERROR($J92&lt;=0,TRUE)),"",87)</f>
        <v/>
      </c>
      <c r="B93" s="19">
        <f>IF($A93="","",IFERROR(EDATE($B$4,$A93-1),""))</f>
        <v/>
      </c>
      <c r="C93" s="9">
        <f>IF($A93="","",$J92)</f>
        <v/>
      </c>
      <c r="D93" s="9">
        <f>IF($A93="","",IFERROR(MIN($H$3,$C93+$I93),""))</f>
        <v/>
      </c>
      <c r="E93" s="9">
        <f>IF($A93="","",IF($D$4="",0,$D$4))</f>
        <v/>
      </c>
      <c r="F93" s="16" t="n"/>
      <c r="G93" s="9">
        <f>IF($A93="","",IFERROR(MIN($C93+$I93,$D93+$E93+IF($F93="",0,$F93)),""))</f>
        <v/>
      </c>
      <c r="H93" s="9">
        <f>IF($A93="","",IFERROR(MAX(0,$G93-$I93),""))</f>
        <v/>
      </c>
      <c r="I93" s="9">
        <f>IF($A93="","",IFERROR($C93*$D$3/12,""))</f>
        <v/>
      </c>
      <c r="J93" s="9">
        <f>IF($A93="","",IFERROR(MAX(0,$C93-$H93),""))</f>
        <v/>
      </c>
      <c r="K93" s="14" t="n"/>
    </row>
    <row r="94">
      <c r="A94" s="29">
        <f>IF(OR($B$3="",$D$3="",$F$3="",$H$3="",$B$4="",88&gt;$F$3,$J93="",IFERROR($J93&lt;=0,TRUE)),"",88)</f>
        <v/>
      </c>
      <c r="B94" s="21">
        <f>IF($A94="","",IFERROR(EDATE($B$4,$A94-1),""))</f>
        <v/>
      </c>
      <c r="C94" s="10">
        <f>IF($A94="","",$J93)</f>
        <v/>
      </c>
      <c r="D94" s="10">
        <f>IF($A94="","",IFERROR(MIN($H$3,$C94+$I94),""))</f>
        <v/>
      </c>
      <c r="E94" s="10">
        <f>IF($A94="","",IF($D$4="",0,$D$4))</f>
        <v/>
      </c>
      <c r="F94" s="16" t="n"/>
      <c r="G94" s="10">
        <f>IF($A94="","",IFERROR(MIN($C94+$I94,$D94+$E94+IF($F94="",0,$F94)),""))</f>
        <v/>
      </c>
      <c r="H94" s="10">
        <f>IF($A94="","",IFERROR(MAX(0,$G94-$I94),""))</f>
        <v/>
      </c>
      <c r="I94" s="10">
        <f>IF($A94="","",IFERROR($C94*$D$3/12,""))</f>
        <v/>
      </c>
      <c r="J94" s="10">
        <f>IF($A94="","",IFERROR(MAX(0,$C94-$H94),""))</f>
        <v/>
      </c>
      <c r="K94" s="14" t="n"/>
    </row>
    <row r="95">
      <c r="A95" s="28">
        <f>IF(OR($B$3="",$D$3="",$F$3="",$H$3="",$B$4="",89&gt;$F$3,$J94="",IFERROR($J94&lt;=0,TRUE)),"",89)</f>
        <v/>
      </c>
      <c r="B95" s="19">
        <f>IF($A95="","",IFERROR(EDATE($B$4,$A95-1),""))</f>
        <v/>
      </c>
      <c r="C95" s="9">
        <f>IF($A95="","",$J94)</f>
        <v/>
      </c>
      <c r="D95" s="9">
        <f>IF($A95="","",IFERROR(MIN($H$3,$C95+$I95),""))</f>
        <v/>
      </c>
      <c r="E95" s="9">
        <f>IF($A95="","",IF($D$4="",0,$D$4))</f>
        <v/>
      </c>
      <c r="F95" s="16" t="n"/>
      <c r="G95" s="9">
        <f>IF($A95="","",IFERROR(MIN($C95+$I95,$D95+$E95+IF($F95="",0,$F95)),""))</f>
        <v/>
      </c>
      <c r="H95" s="9">
        <f>IF($A95="","",IFERROR(MAX(0,$G95-$I95),""))</f>
        <v/>
      </c>
      <c r="I95" s="9">
        <f>IF($A95="","",IFERROR($C95*$D$3/12,""))</f>
        <v/>
      </c>
      <c r="J95" s="9">
        <f>IF($A95="","",IFERROR(MAX(0,$C95-$H95),""))</f>
        <v/>
      </c>
      <c r="K95" s="14" t="n"/>
    </row>
    <row r="96">
      <c r="A96" s="29">
        <f>IF(OR($B$3="",$D$3="",$F$3="",$H$3="",$B$4="",90&gt;$F$3,$J95="",IFERROR($J95&lt;=0,TRUE)),"",90)</f>
        <v/>
      </c>
      <c r="B96" s="21">
        <f>IF($A96="","",IFERROR(EDATE($B$4,$A96-1),""))</f>
        <v/>
      </c>
      <c r="C96" s="10">
        <f>IF($A96="","",$J95)</f>
        <v/>
      </c>
      <c r="D96" s="10">
        <f>IF($A96="","",IFERROR(MIN($H$3,$C96+$I96),""))</f>
        <v/>
      </c>
      <c r="E96" s="10">
        <f>IF($A96="","",IF($D$4="",0,$D$4))</f>
        <v/>
      </c>
      <c r="F96" s="16" t="n"/>
      <c r="G96" s="10">
        <f>IF($A96="","",IFERROR(MIN($C96+$I96,$D96+$E96+IF($F96="",0,$F96)),""))</f>
        <v/>
      </c>
      <c r="H96" s="10">
        <f>IF($A96="","",IFERROR(MAX(0,$G96-$I96),""))</f>
        <v/>
      </c>
      <c r="I96" s="10">
        <f>IF($A96="","",IFERROR($C96*$D$3/12,""))</f>
        <v/>
      </c>
      <c r="J96" s="10">
        <f>IF($A96="","",IFERROR(MAX(0,$C96-$H96),""))</f>
        <v/>
      </c>
      <c r="K96" s="14" t="n"/>
    </row>
    <row r="97">
      <c r="A97" s="28">
        <f>IF(OR($B$3="",$D$3="",$F$3="",$H$3="",$B$4="",91&gt;$F$3,$J96="",IFERROR($J96&lt;=0,TRUE)),"",91)</f>
        <v/>
      </c>
      <c r="B97" s="19">
        <f>IF($A97="","",IFERROR(EDATE($B$4,$A97-1),""))</f>
        <v/>
      </c>
      <c r="C97" s="9">
        <f>IF($A97="","",$J96)</f>
        <v/>
      </c>
      <c r="D97" s="9">
        <f>IF($A97="","",IFERROR(MIN($H$3,$C97+$I97),""))</f>
        <v/>
      </c>
      <c r="E97" s="9">
        <f>IF($A97="","",IF($D$4="",0,$D$4))</f>
        <v/>
      </c>
      <c r="F97" s="16" t="n"/>
      <c r="G97" s="9">
        <f>IF($A97="","",IFERROR(MIN($C97+$I97,$D97+$E97+IF($F97="",0,$F97)),""))</f>
        <v/>
      </c>
      <c r="H97" s="9">
        <f>IF($A97="","",IFERROR(MAX(0,$G97-$I97),""))</f>
        <v/>
      </c>
      <c r="I97" s="9">
        <f>IF($A97="","",IFERROR($C97*$D$3/12,""))</f>
        <v/>
      </c>
      <c r="J97" s="9">
        <f>IF($A97="","",IFERROR(MAX(0,$C97-$H97),""))</f>
        <v/>
      </c>
      <c r="K97" s="14" t="n"/>
    </row>
    <row r="98">
      <c r="A98" s="29">
        <f>IF(OR($B$3="",$D$3="",$F$3="",$H$3="",$B$4="",92&gt;$F$3,$J97="",IFERROR($J97&lt;=0,TRUE)),"",92)</f>
        <v/>
      </c>
      <c r="B98" s="21">
        <f>IF($A98="","",IFERROR(EDATE($B$4,$A98-1),""))</f>
        <v/>
      </c>
      <c r="C98" s="10">
        <f>IF($A98="","",$J97)</f>
        <v/>
      </c>
      <c r="D98" s="10">
        <f>IF($A98="","",IFERROR(MIN($H$3,$C98+$I98),""))</f>
        <v/>
      </c>
      <c r="E98" s="10">
        <f>IF($A98="","",IF($D$4="",0,$D$4))</f>
        <v/>
      </c>
      <c r="F98" s="16" t="n"/>
      <c r="G98" s="10">
        <f>IF($A98="","",IFERROR(MIN($C98+$I98,$D98+$E98+IF($F98="",0,$F98)),""))</f>
        <v/>
      </c>
      <c r="H98" s="10">
        <f>IF($A98="","",IFERROR(MAX(0,$G98-$I98),""))</f>
        <v/>
      </c>
      <c r="I98" s="10">
        <f>IF($A98="","",IFERROR($C98*$D$3/12,""))</f>
        <v/>
      </c>
      <c r="J98" s="10">
        <f>IF($A98="","",IFERROR(MAX(0,$C98-$H98),""))</f>
        <v/>
      </c>
      <c r="K98" s="14" t="n"/>
    </row>
    <row r="99">
      <c r="A99" s="28">
        <f>IF(OR($B$3="",$D$3="",$F$3="",$H$3="",$B$4="",93&gt;$F$3,$J98="",IFERROR($J98&lt;=0,TRUE)),"",93)</f>
        <v/>
      </c>
      <c r="B99" s="19">
        <f>IF($A99="","",IFERROR(EDATE($B$4,$A99-1),""))</f>
        <v/>
      </c>
      <c r="C99" s="9">
        <f>IF($A99="","",$J98)</f>
        <v/>
      </c>
      <c r="D99" s="9">
        <f>IF($A99="","",IFERROR(MIN($H$3,$C99+$I99),""))</f>
        <v/>
      </c>
      <c r="E99" s="9">
        <f>IF($A99="","",IF($D$4="",0,$D$4))</f>
        <v/>
      </c>
      <c r="F99" s="16" t="n"/>
      <c r="G99" s="9">
        <f>IF($A99="","",IFERROR(MIN($C99+$I99,$D99+$E99+IF($F99="",0,$F99)),""))</f>
        <v/>
      </c>
      <c r="H99" s="9">
        <f>IF($A99="","",IFERROR(MAX(0,$G99-$I99),""))</f>
        <v/>
      </c>
      <c r="I99" s="9">
        <f>IF($A99="","",IFERROR($C99*$D$3/12,""))</f>
        <v/>
      </c>
      <c r="J99" s="9">
        <f>IF($A99="","",IFERROR(MAX(0,$C99-$H99),""))</f>
        <v/>
      </c>
      <c r="K99" s="14" t="n"/>
    </row>
    <row r="100">
      <c r="A100" s="29">
        <f>IF(OR($B$3="",$D$3="",$F$3="",$H$3="",$B$4="",94&gt;$F$3,$J99="",IFERROR($J99&lt;=0,TRUE)),"",94)</f>
        <v/>
      </c>
      <c r="B100" s="21">
        <f>IF($A100="","",IFERROR(EDATE($B$4,$A100-1),""))</f>
        <v/>
      </c>
      <c r="C100" s="10">
        <f>IF($A100="","",$J99)</f>
        <v/>
      </c>
      <c r="D100" s="10">
        <f>IF($A100="","",IFERROR(MIN($H$3,$C100+$I100),""))</f>
        <v/>
      </c>
      <c r="E100" s="10">
        <f>IF($A100="","",IF($D$4="",0,$D$4))</f>
        <v/>
      </c>
      <c r="F100" s="16" t="n"/>
      <c r="G100" s="10">
        <f>IF($A100="","",IFERROR(MIN($C100+$I100,$D100+$E100+IF($F100="",0,$F100)),""))</f>
        <v/>
      </c>
      <c r="H100" s="10">
        <f>IF($A100="","",IFERROR(MAX(0,$G100-$I100),""))</f>
        <v/>
      </c>
      <c r="I100" s="10">
        <f>IF($A100="","",IFERROR($C100*$D$3/12,""))</f>
        <v/>
      </c>
      <c r="J100" s="10">
        <f>IF($A100="","",IFERROR(MAX(0,$C100-$H100),""))</f>
        <v/>
      </c>
      <c r="K100" s="14" t="n"/>
    </row>
    <row r="101">
      <c r="A101" s="28">
        <f>IF(OR($B$3="",$D$3="",$F$3="",$H$3="",$B$4="",95&gt;$F$3,$J100="",IFERROR($J100&lt;=0,TRUE)),"",95)</f>
        <v/>
      </c>
      <c r="B101" s="19">
        <f>IF($A101="","",IFERROR(EDATE($B$4,$A101-1),""))</f>
        <v/>
      </c>
      <c r="C101" s="9">
        <f>IF($A101="","",$J100)</f>
        <v/>
      </c>
      <c r="D101" s="9">
        <f>IF($A101="","",IFERROR(MIN($H$3,$C101+$I101),""))</f>
        <v/>
      </c>
      <c r="E101" s="9">
        <f>IF($A101="","",IF($D$4="",0,$D$4))</f>
        <v/>
      </c>
      <c r="F101" s="16" t="n"/>
      <c r="G101" s="9">
        <f>IF($A101="","",IFERROR(MIN($C101+$I101,$D101+$E101+IF($F101="",0,$F101)),""))</f>
        <v/>
      </c>
      <c r="H101" s="9">
        <f>IF($A101="","",IFERROR(MAX(0,$G101-$I101),""))</f>
        <v/>
      </c>
      <c r="I101" s="9">
        <f>IF($A101="","",IFERROR($C101*$D$3/12,""))</f>
        <v/>
      </c>
      <c r="J101" s="9">
        <f>IF($A101="","",IFERROR(MAX(0,$C101-$H101),""))</f>
        <v/>
      </c>
      <c r="K101" s="14" t="n"/>
    </row>
    <row r="102">
      <c r="A102" s="29">
        <f>IF(OR($B$3="",$D$3="",$F$3="",$H$3="",$B$4="",96&gt;$F$3,$J101="",IFERROR($J101&lt;=0,TRUE)),"",96)</f>
        <v/>
      </c>
      <c r="B102" s="21">
        <f>IF($A102="","",IFERROR(EDATE($B$4,$A102-1),""))</f>
        <v/>
      </c>
      <c r="C102" s="10">
        <f>IF($A102="","",$J101)</f>
        <v/>
      </c>
      <c r="D102" s="10">
        <f>IF($A102="","",IFERROR(MIN($H$3,$C102+$I102),""))</f>
        <v/>
      </c>
      <c r="E102" s="10">
        <f>IF($A102="","",IF($D$4="",0,$D$4))</f>
        <v/>
      </c>
      <c r="F102" s="16" t="n"/>
      <c r="G102" s="10">
        <f>IF($A102="","",IFERROR(MIN($C102+$I102,$D102+$E102+IF($F102="",0,$F102)),""))</f>
        <v/>
      </c>
      <c r="H102" s="10">
        <f>IF($A102="","",IFERROR(MAX(0,$G102-$I102),""))</f>
        <v/>
      </c>
      <c r="I102" s="10">
        <f>IF($A102="","",IFERROR($C102*$D$3/12,""))</f>
        <v/>
      </c>
      <c r="J102" s="10">
        <f>IF($A102="","",IFERROR(MAX(0,$C102-$H102),""))</f>
        <v/>
      </c>
      <c r="K102" s="14" t="n"/>
    </row>
    <row r="103">
      <c r="A103" s="28">
        <f>IF(OR($B$3="",$D$3="",$F$3="",$H$3="",$B$4="",97&gt;$F$3,$J102="",IFERROR($J102&lt;=0,TRUE)),"",97)</f>
        <v/>
      </c>
      <c r="B103" s="19">
        <f>IF($A103="","",IFERROR(EDATE($B$4,$A103-1),""))</f>
        <v/>
      </c>
      <c r="C103" s="9">
        <f>IF($A103="","",$J102)</f>
        <v/>
      </c>
      <c r="D103" s="9">
        <f>IF($A103="","",IFERROR(MIN($H$3,$C103+$I103),""))</f>
        <v/>
      </c>
      <c r="E103" s="9">
        <f>IF($A103="","",IF($D$4="",0,$D$4))</f>
        <v/>
      </c>
      <c r="F103" s="16" t="n"/>
      <c r="G103" s="9">
        <f>IF($A103="","",IFERROR(MIN($C103+$I103,$D103+$E103+IF($F103="",0,$F103)),""))</f>
        <v/>
      </c>
      <c r="H103" s="9">
        <f>IF($A103="","",IFERROR(MAX(0,$G103-$I103),""))</f>
        <v/>
      </c>
      <c r="I103" s="9">
        <f>IF($A103="","",IFERROR($C103*$D$3/12,""))</f>
        <v/>
      </c>
      <c r="J103" s="9">
        <f>IF($A103="","",IFERROR(MAX(0,$C103-$H103),""))</f>
        <v/>
      </c>
      <c r="K103" s="14" t="n"/>
    </row>
    <row r="104">
      <c r="A104" s="29">
        <f>IF(OR($B$3="",$D$3="",$F$3="",$H$3="",$B$4="",98&gt;$F$3,$J103="",IFERROR($J103&lt;=0,TRUE)),"",98)</f>
        <v/>
      </c>
      <c r="B104" s="21">
        <f>IF($A104="","",IFERROR(EDATE($B$4,$A104-1),""))</f>
        <v/>
      </c>
      <c r="C104" s="10">
        <f>IF($A104="","",$J103)</f>
        <v/>
      </c>
      <c r="D104" s="10">
        <f>IF($A104="","",IFERROR(MIN($H$3,$C104+$I104),""))</f>
        <v/>
      </c>
      <c r="E104" s="10">
        <f>IF($A104="","",IF($D$4="",0,$D$4))</f>
        <v/>
      </c>
      <c r="F104" s="16" t="n"/>
      <c r="G104" s="10">
        <f>IF($A104="","",IFERROR(MIN($C104+$I104,$D104+$E104+IF($F104="",0,$F104)),""))</f>
        <v/>
      </c>
      <c r="H104" s="10">
        <f>IF($A104="","",IFERROR(MAX(0,$G104-$I104),""))</f>
        <v/>
      </c>
      <c r="I104" s="10">
        <f>IF($A104="","",IFERROR($C104*$D$3/12,""))</f>
        <v/>
      </c>
      <c r="J104" s="10">
        <f>IF($A104="","",IFERROR(MAX(0,$C104-$H104),""))</f>
        <v/>
      </c>
      <c r="K104" s="14" t="n"/>
    </row>
    <row r="105">
      <c r="A105" s="28">
        <f>IF(OR($B$3="",$D$3="",$F$3="",$H$3="",$B$4="",99&gt;$F$3,$J104="",IFERROR($J104&lt;=0,TRUE)),"",99)</f>
        <v/>
      </c>
      <c r="B105" s="19">
        <f>IF($A105="","",IFERROR(EDATE($B$4,$A105-1),""))</f>
        <v/>
      </c>
      <c r="C105" s="9">
        <f>IF($A105="","",$J104)</f>
        <v/>
      </c>
      <c r="D105" s="9">
        <f>IF($A105="","",IFERROR(MIN($H$3,$C105+$I105),""))</f>
        <v/>
      </c>
      <c r="E105" s="9">
        <f>IF($A105="","",IF($D$4="",0,$D$4))</f>
        <v/>
      </c>
      <c r="F105" s="16" t="n"/>
      <c r="G105" s="9">
        <f>IF($A105="","",IFERROR(MIN($C105+$I105,$D105+$E105+IF($F105="",0,$F105)),""))</f>
        <v/>
      </c>
      <c r="H105" s="9">
        <f>IF($A105="","",IFERROR(MAX(0,$G105-$I105),""))</f>
        <v/>
      </c>
      <c r="I105" s="9">
        <f>IF($A105="","",IFERROR($C105*$D$3/12,""))</f>
        <v/>
      </c>
      <c r="J105" s="9">
        <f>IF($A105="","",IFERROR(MAX(0,$C105-$H105),""))</f>
        <v/>
      </c>
      <c r="K105" s="14" t="n"/>
    </row>
    <row r="106">
      <c r="A106" s="29">
        <f>IF(OR($B$3="",$D$3="",$F$3="",$H$3="",$B$4="",100&gt;$F$3,$J105="",IFERROR($J105&lt;=0,TRUE)),"",100)</f>
        <v/>
      </c>
      <c r="B106" s="21">
        <f>IF($A106="","",IFERROR(EDATE($B$4,$A106-1),""))</f>
        <v/>
      </c>
      <c r="C106" s="10">
        <f>IF($A106="","",$J105)</f>
        <v/>
      </c>
      <c r="D106" s="10">
        <f>IF($A106="","",IFERROR(MIN($H$3,$C106+$I106),""))</f>
        <v/>
      </c>
      <c r="E106" s="10">
        <f>IF($A106="","",IF($D$4="",0,$D$4))</f>
        <v/>
      </c>
      <c r="F106" s="16" t="n"/>
      <c r="G106" s="10">
        <f>IF($A106="","",IFERROR(MIN($C106+$I106,$D106+$E106+IF($F106="",0,$F106)),""))</f>
        <v/>
      </c>
      <c r="H106" s="10">
        <f>IF($A106="","",IFERROR(MAX(0,$G106-$I106),""))</f>
        <v/>
      </c>
      <c r="I106" s="10">
        <f>IF($A106="","",IFERROR($C106*$D$3/12,""))</f>
        <v/>
      </c>
      <c r="J106" s="10">
        <f>IF($A106="","",IFERROR(MAX(0,$C106-$H106),""))</f>
        <v/>
      </c>
      <c r="K106" s="14" t="n"/>
    </row>
    <row r="107">
      <c r="A107" s="28">
        <f>IF(OR($B$3="",$D$3="",$F$3="",$H$3="",$B$4="",101&gt;$F$3,$J106="",IFERROR($J106&lt;=0,TRUE)),"",101)</f>
        <v/>
      </c>
      <c r="B107" s="19">
        <f>IF($A107="","",IFERROR(EDATE($B$4,$A107-1),""))</f>
        <v/>
      </c>
      <c r="C107" s="9">
        <f>IF($A107="","",$J106)</f>
        <v/>
      </c>
      <c r="D107" s="9">
        <f>IF($A107="","",IFERROR(MIN($H$3,$C107+$I107),""))</f>
        <v/>
      </c>
      <c r="E107" s="9">
        <f>IF($A107="","",IF($D$4="",0,$D$4))</f>
        <v/>
      </c>
      <c r="F107" s="16" t="n"/>
      <c r="G107" s="9">
        <f>IF($A107="","",IFERROR(MIN($C107+$I107,$D107+$E107+IF($F107="",0,$F107)),""))</f>
        <v/>
      </c>
      <c r="H107" s="9">
        <f>IF($A107="","",IFERROR(MAX(0,$G107-$I107),""))</f>
        <v/>
      </c>
      <c r="I107" s="9">
        <f>IF($A107="","",IFERROR($C107*$D$3/12,""))</f>
        <v/>
      </c>
      <c r="J107" s="9">
        <f>IF($A107="","",IFERROR(MAX(0,$C107-$H107),""))</f>
        <v/>
      </c>
      <c r="K107" s="14" t="n"/>
    </row>
    <row r="108">
      <c r="A108" s="29">
        <f>IF(OR($B$3="",$D$3="",$F$3="",$H$3="",$B$4="",102&gt;$F$3,$J107="",IFERROR($J107&lt;=0,TRUE)),"",102)</f>
        <v/>
      </c>
      <c r="B108" s="21">
        <f>IF($A108="","",IFERROR(EDATE($B$4,$A108-1),""))</f>
        <v/>
      </c>
      <c r="C108" s="10">
        <f>IF($A108="","",$J107)</f>
        <v/>
      </c>
      <c r="D108" s="10">
        <f>IF($A108="","",IFERROR(MIN($H$3,$C108+$I108),""))</f>
        <v/>
      </c>
      <c r="E108" s="10">
        <f>IF($A108="","",IF($D$4="",0,$D$4))</f>
        <v/>
      </c>
      <c r="F108" s="16" t="n"/>
      <c r="G108" s="10">
        <f>IF($A108="","",IFERROR(MIN($C108+$I108,$D108+$E108+IF($F108="",0,$F108)),""))</f>
        <v/>
      </c>
      <c r="H108" s="10">
        <f>IF($A108="","",IFERROR(MAX(0,$G108-$I108),""))</f>
        <v/>
      </c>
      <c r="I108" s="10">
        <f>IF($A108="","",IFERROR($C108*$D$3/12,""))</f>
        <v/>
      </c>
      <c r="J108" s="10">
        <f>IF($A108="","",IFERROR(MAX(0,$C108-$H108),""))</f>
        <v/>
      </c>
      <c r="K108" s="14" t="n"/>
    </row>
    <row r="109">
      <c r="A109" s="28">
        <f>IF(OR($B$3="",$D$3="",$F$3="",$H$3="",$B$4="",103&gt;$F$3,$J108="",IFERROR($J108&lt;=0,TRUE)),"",103)</f>
        <v/>
      </c>
      <c r="B109" s="19">
        <f>IF($A109="","",IFERROR(EDATE($B$4,$A109-1),""))</f>
        <v/>
      </c>
      <c r="C109" s="9">
        <f>IF($A109="","",$J108)</f>
        <v/>
      </c>
      <c r="D109" s="9">
        <f>IF($A109="","",IFERROR(MIN($H$3,$C109+$I109),""))</f>
        <v/>
      </c>
      <c r="E109" s="9">
        <f>IF($A109="","",IF($D$4="",0,$D$4))</f>
        <v/>
      </c>
      <c r="F109" s="16" t="n"/>
      <c r="G109" s="9">
        <f>IF($A109="","",IFERROR(MIN($C109+$I109,$D109+$E109+IF($F109="",0,$F109)),""))</f>
        <v/>
      </c>
      <c r="H109" s="9">
        <f>IF($A109="","",IFERROR(MAX(0,$G109-$I109),""))</f>
        <v/>
      </c>
      <c r="I109" s="9">
        <f>IF($A109="","",IFERROR($C109*$D$3/12,""))</f>
        <v/>
      </c>
      <c r="J109" s="9">
        <f>IF($A109="","",IFERROR(MAX(0,$C109-$H109),""))</f>
        <v/>
      </c>
      <c r="K109" s="14" t="n"/>
    </row>
    <row r="110">
      <c r="A110" s="29">
        <f>IF(OR($B$3="",$D$3="",$F$3="",$H$3="",$B$4="",104&gt;$F$3,$J109="",IFERROR($J109&lt;=0,TRUE)),"",104)</f>
        <v/>
      </c>
      <c r="B110" s="21">
        <f>IF($A110="","",IFERROR(EDATE($B$4,$A110-1),""))</f>
        <v/>
      </c>
      <c r="C110" s="10">
        <f>IF($A110="","",$J109)</f>
        <v/>
      </c>
      <c r="D110" s="10">
        <f>IF($A110="","",IFERROR(MIN($H$3,$C110+$I110),""))</f>
        <v/>
      </c>
      <c r="E110" s="10">
        <f>IF($A110="","",IF($D$4="",0,$D$4))</f>
        <v/>
      </c>
      <c r="F110" s="16" t="n"/>
      <c r="G110" s="10">
        <f>IF($A110="","",IFERROR(MIN($C110+$I110,$D110+$E110+IF($F110="",0,$F110)),""))</f>
        <v/>
      </c>
      <c r="H110" s="10">
        <f>IF($A110="","",IFERROR(MAX(0,$G110-$I110),""))</f>
        <v/>
      </c>
      <c r="I110" s="10">
        <f>IF($A110="","",IFERROR($C110*$D$3/12,""))</f>
        <v/>
      </c>
      <c r="J110" s="10">
        <f>IF($A110="","",IFERROR(MAX(0,$C110-$H110),""))</f>
        <v/>
      </c>
      <c r="K110" s="14" t="n"/>
    </row>
    <row r="111">
      <c r="A111" s="28">
        <f>IF(OR($B$3="",$D$3="",$F$3="",$H$3="",$B$4="",105&gt;$F$3,$J110="",IFERROR($J110&lt;=0,TRUE)),"",105)</f>
        <v/>
      </c>
      <c r="B111" s="19">
        <f>IF($A111="","",IFERROR(EDATE($B$4,$A111-1),""))</f>
        <v/>
      </c>
      <c r="C111" s="9">
        <f>IF($A111="","",$J110)</f>
        <v/>
      </c>
      <c r="D111" s="9">
        <f>IF($A111="","",IFERROR(MIN($H$3,$C111+$I111),""))</f>
        <v/>
      </c>
      <c r="E111" s="9">
        <f>IF($A111="","",IF($D$4="",0,$D$4))</f>
        <v/>
      </c>
      <c r="F111" s="16" t="n"/>
      <c r="G111" s="9">
        <f>IF($A111="","",IFERROR(MIN($C111+$I111,$D111+$E111+IF($F111="",0,$F111)),""))</f>
        <v/>
      </c>
      <c r="H111" s="9">
        <f>IF($A111="","",IFERROR(MAX(0,$G111-$I111),""))</f>
        <v/>
      </c>
      <c r="I111" s="9">
        <f>IF($A111="","",IFERROR($C111*$D$3/12,""))</f>
        <v/>
      </c>
      <c r="J111" s="9">
        <f>IF($A111="","",IFERROR(MAX(0,$C111-$H111),""))</f>
        <v/>
      </c>
      <c r="K111" s="14" t="n"/>
    </row>
    <row r="112">
      <c r="A112" s="29">
        <f>IF(OR($B$3="",$D$3="",$F$3="",$H$3="",$B$4="",106&gt;$F$3,$J111="",IFERROR($J111&lt;=0,TRUE)),"",106)</f>
        <v/>
      </c>
      <c r="B112" s="21">
        <f>IF($A112="","",IFERROR(EDATE($B$4,$A112-1),""))</f>
        <v/>
      </c>
      <c r="C112" s="10">
        <f>IF($A112="","",$J111)</f>
        <v/>
      </c>
      <c r="D112" s="10">
        <f>IF($A112="","",IFERROR(MIN($H$3,$C112+$I112),""))</f>
        <v/>
      </c>
      <c r="E112" s="10">
        <f>IF($A112="","",IF($D$4="",0,$D$4))</f>
        <v/>
      </c>
      <c r="F112" s="16" t="n"/>
      <c r="G112" s="10">
        <f>IF($A112="","",IFERROR(MIN($C112+$I112,$D112+$E112+IF($F112="",0,$F112)),""))</f>
        <v/>
      </c>
      <c r="H112" s="10">
        <f>IF($A112="","",IFERROR(MAX(0,$G112-$I112),""))</f>
        <v/>
      </c>
      <c r="I112" s="10">
        <f>IF($A112="","",IFERROR($C112*$D$3/12,""))</f>
        <v/>
      </c>
      <c r="J112" s="10">
        <f>IF($A112="","",IFERROR(MAX(0,$C112-$H112),""))</f>
        <v/>
      </c>
      <c r="K112" s="14" t="n"/>
    </row>
    <row r="113">
      <c r="A113" s="28">
        <f>IF(OR($B$3="",$D$3="",$F$3="",$H$3="",$B$4="",107&gt;$F$3,$J112="",IFERROR($J112&lt;=0,TRUE)),"",107)</f>
        <v/>
      </c>
      <c r="B113" s="19">
        <f>IF($A113="","",IFERROR(EDATE($B$4,$A113-1),""))</f>
        <v/>
      </c>
      <c r="C113" s="9">
        <f>IF($A113="","",$J112)</f>
        <v/>
      </c>
      <c r="D113" s="9">
        <f>IF($A113="","",IFERROR(MIN($H$3,$C113+$I113),""))</f>
        <v/>
      </c>
      <c r="E113" s="9">
        <f>IF($A113="","",IF($D$4="",0,$D$4))</f>
        <v/>
      </c>
      <c r="F113" s="16" t="n"/>
      <c r="G113" s="9">
        <f>IF($A113="","",IFERROR(MIN($C113+$I113,$D113+$E113+IF($F113="",0,$F113)),""))</f>
        <v/>
      </c>
      <c r="H113" s="9">
        <f>IF($A113="","",IFERROR(MAX(0,$G113-$I113),""))</f>
        <v/>
      </c>
      <c r="I113" s="9">
        <f>IF($A113="","",IFERROR($C113*$D$3/12,""))</f>
        <v/>
      </c>
      <c r="J113" s="9">
        <f>IF($A113="","",IFERROR(MAX(0,$C113-$H113),""))</f>
        <v/>
      </c>
      <c r="K113" s="14" t="n"/>
    </row>
    <row r="114">
      <c r="A114" s="29">
        <f>IF(OR($B$3="",$D$3="",$F$3="",$H$3="",$B$4="",108&gt;$F$3,$J113="",IFERROR($J113&lt;=0,TRUE)),"",108)</f>
        <v/>
      </c>
      <c r="B114" s="21">
        <f>IF($A114="","",IFERROR(EDATE($B$4,$A114-1),""))</f>
        <v/>
      </c>
      <c r="C114" s="10">
        <f>IF($A114="","",$J113)</f>
        <v/>
      </c>
      <c r="D114" s="10">
        <f>IF($A114="","",IFERROR(MIN($H$3,$C114+$I114),""))</f>
        <v/>
      </c>
      <c r="E114" s="10">
        <f>IF($A114="","",IF($D$4="",0,$D$4))</f>
        <v/>
      </c>
      <c r="F114" s="16" t="n"/>
      <c r="G114" s="10">
        <f>IF($A114="","",IFERROR(MIN($C114+$I114,$D114+$E114+IF($F114="",0,$F114)),""))</f>
        <v/>
      </c>
      <c r="H114" s="10">
        <f>IF($A114="","",IFERROR(MAX(0,$G114-$I114),""))</f>
        <v/>
      </c>
      <c r="I114" s="10">
        <f>IF($A114="","",IFERROR($C114*$D$3/12,""))</f>
        <v/>
      </c>
      <c r="J114" s="10">
        <f>IF($A114="","",IFERROR(MAX(0,$C114-$H114),""))</f>
        <v/>
      </c>
      <c r="K114" s="14" t="n"/>
    </row>
    <row r="115">
      <c r="A115" s="28">
        <f>IF(OR($B$3="",$D$3="",$F$3="",$H$3="",$B$4="",109&gt;$F$3,$J114="",IFERROR($J114&lt;=0,TRUE)),"",109)</f>
        <v/>
      </c>
      <c r="B115" s="19">
        <f>IF($A115="","",IFERROR(EDATE($B$4,$A115-1),""))</f>
        <v/>
      </c>
      <c r="C115" s="9">
        <f>IF($A115="","",$J114)</f>
        <v/>
      </c>
      <c r="D115" s="9">
        <f>IF($A115="","",IFERROR(MIN($H$3,$C115+$I115),""))</f>
        <v/>
      </c>
      <c r="E115" s="9">
        <f>IF($A115="","",IF($D$4="",0,$D$4))</f>
        <v/>
      </c>
      <c r="F115" s="16" t="n"/>
      <c r="G115" s="9">
        <f>IF($A115="","",IFERROR(MIN($C115+$I115,$D115+$E115+IF($F115="",0,$F115)),""))</f>
        <v/>
      </c>
      <c r="H115" s="9">
        <f>IF($A115="","",IFERROR(MAX(0,$G115-$I115),""))</f>
        <v/>
      </c>
      <c r="I115" s="9">
        <f>IF($A115="","",IFERROR($C115*$D$3/12,""))</f>
        <v/>
      </c>
      <c r="J115" s="9">
        <f>IF($A115="","",IFERROR(MAX(0,$C115-$H115),""))</f>
        <v/>
      </c>
      <c r="K115" s="14" t="n"/>
    </row>
    <row r="116">
      <c r="A116" s="29">
        <f>IF(OR($B$3="",$D$3="",$F$3="",$H$3="",$B$4="",110&gt;$F$3,$J115="",IFERROR($J115&lt;=0,TRUE)),"",110)</f>
        <v/>
      </c>
      <c r="B116" s="21">
        <f>IF($A116="","",IFERROR(EDATE($B$4,$A116-1),""))</f>
        <v/>
      </c>
      <c r="C116" s="10">
        <f>IF($A116="","",$J115)</f>
        <v/>
      </c>
      <c r="D116" s="10">
        <f>IF($A116="","",IFERROR(MIN($H$3,$C116+$I116),""))</f>
        <v/>
      </c>
      <c r="E116" s="10">
        <f>IF($A116="","",IF($D$4="",0,$D$4))</f>
        <v/>
      </c>
      <c r="F116" s="16" t="n"/>
      <c r="G116" s="10">
        <f>IF($A116="","",IFERROR(MIN($C116+$I116,$D116+$E116+IF($F116="",0,$F116)),""))</f>
        <v/>
      </c>
      <c r="H116" s="10">
        <f>IF($A116="","",IFERROR(MAX(0,$G116-$I116),""))</f>
        <v/>
      </c>
      <c r="I116" s="10">
        <f>IF($A116="","",IFERROR($C116*$D$3/12,""))</f>
        <v/>
      </c>
      <c r="J116" s="10">
        <f>IF($A116="","",IFERROR(MAX(0,$C116-$H116),""))</f>
        <v/>
      </c>
      <c r="K116" s="14" t="n"/>
    </row>
    <row r="117">
      <c r="A117" s="28">
        <f>IF(OR($B$3="",$D$3="",$F$3="",$H$3="",$B$4="",111&gt;$F$3,$J116="",IFERROR($J116&lt;=0,TRUE)),"",111)</f>
        <v/>
      </c>
      <c r="B117" s="19">
        <f>IF($A117="","",IFERROR(EDATE($B$4,$A117-1),""))</f>
        <v/>
      </c>
      <c r="C117" s="9">
        <f>IF($A117="","",$J116)</f>
        <v/>
      </c>
      <c r="D117" s="9">
        <f>IF($A117="","",IFERROR(MIN($H$3,$C117+$I117),""))</f>
        <v/>
      </c>
      <c r="E117" s="9">
        <f>IF($A117="","",IF($D$4="",0,$D$4))</f>
        <v/>
      </c>
      <c r="F117" s="16" t="n"/>
      <c r="G117" s="9">
        <f>IF($A117="","",IFERROR(MIN($C117+$I117,$D117+$E117+IF($F117="",0,$F117)),""))</f>
        <v/>
      </c>
      <c r="H117" s="9">
        <f>IF($A117="","",IFERROR(MAX(0,$G117-$I117),""))</f>
        <v/>
      </c>
      <c r="I117" s="9">
        <f>IF($A117="","",IFERROR($C117*$D$3/12,""))</f>
        <v/>
      </c>
      <c r="J117" s="9">
        <f>IF($A117="","",IFERROR(MAX(0,$C117-$H117),""))</f>
        <v/>
      </c>
      <c r="K117" s="14" t="n"/>
    </row>
    <row r="118">
      <c r="A118" s="29">
        <f>IF(OR($B$3="",$D$3="",$F$3="",$H$3="",$B$4="",112&gt;$F$3,$J117="",IFERROR($J117&lt;=0,TRUE)),"",112)</f>
        <v/>
      </c>
      <c r="B118" s="21">
        <f>IF($A118="","",IFERROR(EDATE($B$4,$A118-1),""))</f>
        <v/>
      </c>
      <c r="C118" s="10">
        <f>IF($A118="","",$J117)</f>
        <v/>
      </c>
      <c r="D118" s="10">
        <f>IF($A118="","",IFERROR(MIN($H$3,$C118+$I118),""))</f>
        <v/>
      </c>
      <c r="E118" s="10">
        <f>IF($A118="","",IF($D$4="",0,$D$4))</f>
        <v/>
      </c>
      <c r="F118" s="16" t="n"/>
      <c r="G118" s="10">
        <f>IF($A118="","",IFERROR(MIN($C118+$I118,$D118+$E118+IF($F118="",0,$F118)),""))</f>
        <v/>
      </c>
      <c r="H118" s="10">
        <f>IF($A118="","",IFERROR(MAX(0,$G118-$I118),""))</f>
        <v/>
      </c>
      <c r="I118" s="10">
        <f>IF($A118="","",IFERROR($C118*$D$3/12,""))</f>
        <v/>
      </c>
      <c r="J118" s="10">
        <f>IF($A118="","",IFERROR(MAX(0,$C118-$H118),""))</f>
        <v/>
      </c>
      <c r="K118" s="14" t="n"/>
    </row>
    <row r="119">
      <c r="A119" s="28">
        <f>IF(OR($B$3="",$D$3="",$F$3="",$H$3="",$B$4="",113&gt;$F$3,$J118="",IFERROR($J118&lt;=0,TRUE)),"",113)</f>
        <v/>
      </c>
      <c r="B119" s="19">
        <f>IF($A119="","",IFERROR(EDATE($B$4,$A119-1),""))</f>
        <v/>
      </c>
      <c r="C119" s="9">
        <f>IF($A119="","",$J118)</f>
        <v/>
      </c>
      <c r="D119" s="9">
        <f>IF($A119="","",IFERROR(MIN($H$3,$C119+$I119),""))</f>
        <v/>
      </c>
      <c r="E119" s="9">
        <f>IF($A119="","",IF($D$4="",0,$D$4))</f>
        <v/>
      </c>
      <c r="F119" s="16" t="n"/>
      <c r="G119" s="9">
        <f>IF($A119="","",IFERROR(MIN($C119+$I119,$D119+$E119+IF($F119="",0,$F119)),""))</f>
        <v/>
      </c>
      <c r="H119" s="9">
        <f>IF($A119="","",IFERROR(MAX(0,$G119-$I119),""))</f>
        <v/>
      </c>
      <c r="I119" s="9">
        <f>IF($A119="","",IFERROR($C119*$D$3/12,""))</f>
        <v/>
      </c>
      <c r="J119" s="9">
        <f>IF($A119="","",IFERROR(MAX(0,$C119-$H119),""))</f>
        <v/>
      </c>
      <c r="K119" s="14" t="n"/>
    </row>
    <row r="120">
      <c r="A120" s="29">
        <f>IF(OR($B$3="",$D$3="",$F$3="",$H$3="",$B$4="",114&gt;$F$3,$J119="",IFERROR($J119&lt;=0,TRUE)),"",114)</f>
        <v/>
      </c>
      <c r="B120" s="21">
        <f>IF($A120="","",IFERROR(EDATE($B$4,$A120-1),""))</f>
        <v/>
      </c>
      <c r="C120" s="10">
        <f>IF($A120="","",$J119)</f>
        <v/>
      </c>
      <c r="D120" s="10">
        <f>IF($A120="","",IFERROR(MIN($H$3,$C120+$I120),""))</f>
        <v/>
      </c>
      <c r="E120" s="10">
        <f>IF($A120="","",IF($D$4="",0,$D$4))</f>
        <v/>
      </c>
      <c r="F120" s="16" t="n"/>
      <c r="G120" s="10">
        <f>IF($A120="","",IFERROR(MIN($C120+$I120,$D120+$E120+IF($F120="",0,$F120)),""))</f>
        <v/>
      </c>
      <c r="H120" s="10">
        <f>IF($A120="","",IFERROR(MAX(0,$G120-$I120),""))</f>
        <v/>
      </c>
      <c r="I120" s="10">
        <f>IF($A120="","",IFERROR($C120*$D$3/12,""))</f>
        <v/>
      </c>
      <c r="J120" s="10">
        <f>IF($A120="","",IFERROR(MAX(0,$C120-$H120),""))</f>
        <v/>
      </c>
      <c r="K120" s="14" t="n"/>
    </row>
    <row r="121">
      <c r="A121" s="28">
        <f>IF(OR($B$3="",$D$3="",$F$3="",$H$3="",$B$4="",115&gt;$F$3,$J120="",IFERROR($J120&lt;=0,TRUE)),"",115)</f>
        <v/>
      </c>
      <c r="B121" s="19">
        <f>IF($A121="","",IFERROR(EDATE($B$4,$A121-1),""))</f>
        <v/>
      </c>
      <c r="C121" s="9">
        <f>IF($A121="","",$J120)</f>
        <v/>
      </c>
      <c r="D121" s="9">
        <f>IF($A121="","",IFERROR(MIN($H$3,$C121+$I121),""))</f>
        <v/>
      </c>
      <c r="E121" s="9">
        <f>IF($A121="","",IF($D$4="",0,$D$4))</f>
        <v/>
      </c>
      <c r="F121" s="16" t="n"/>
      <c r="G121" s="9">
        <f>IF($A121="","",IFERROR(MIN($C121+$I121,$D121+$E121+IF($F121="",0,$F121)),""))</f>
        <v/>
      </c>
      <c r="H121" s="9">
        <f>IF($A121="","",IFERROR(MAX(0,$G121-$I121),""))</f>
        <v/>
      </c>
      <c r="I121" s="9">
        <f>IF($A121="","",IFERROR($C121*$D$3/12,""))</f>
        <v/>
      </c>
      <c r="J121" s="9">
        <f>IF($A121="","",IFERROR(MAX(0,$C121-$H121),""))</f>
        <v/>
      </c>
      <c r="K121" s="14" t="n"/>
    </row>
    <row r="122">
      <c r="A122" s="29">
        <f>IF(OR($B$3="",$D$3="",$F$3="",$H$3="",$B$4="",116&gt;$F$3,$J121="",IFERROR($J121&lt;=0,TRUE)),"",116)</f>
        <v/>
      </c>
      <c r="B122" s="21">
        <f>IF($A122="","",IFERROR(EDATE($B$4,$A122-1),""))</f>
        <v/>
      </c>
      <c r="C122" s="10">
        <f>IF($A122="","",$J121)</f>
        <v/>
      </c>
      <c r="D122" s="10">
        <f>IF($A122="","",IFERROR(MIN($H$3,$C122+$I122),""))</f>
        <v/>
      </c>
      <c r="E122" s="10">
        <f>IF($A122="","",IF($D$4="",0,$D$4))</f>
        <v/>
      </c>
      <c r="F122" s="16" t="n"/>
      <c r="G122" s="10">
        <f>IF($A122="","",IFERROR(MIN($C122+$I122,$D122+$E122+IF($F122="",0,$F122)),""))</f>
        <v/>
      </c>
      <c r="H122" s="10">
        <f>IF($A122="","",IFERROR(MAX(0,$G122-$I122),""))</f>
        <v/>
      </c>
      <c r="I122" s="10">
        <f>IF($A122="","",IFERROR($C122*$D$3/12,""))</f>
        <v/>
      </c>
      <c r="J122" s="10">
        <f>IF($A122="","",IFERROR(MAX(0,$C122-$H122),""))</f>
        <v/>
      </c>
      <c r="K122" s="14" t="n"/>
    </row>
    <row r="123">
      <c r="A123" s="28">
        <f>IF(OR($B$3="",$D$3="",$F$3="",$H$3="",$B$4="",117&gt;$F$3,$J122="",IFERROR($J122&lt;=0,TRUE)),"",117)</f>
        <v/>
      </c>
      <c r="B123" s="19">
        <f>IF($A123="","",IFERROR(EDATE($B$4,$A123-1),""))</f>
        <v/>
      </c>
      <c r="C123" s="9">
        <f>IF($A123="","",$J122)</f>
        <v/>
      </c>
      <c r="D123" s="9">
        <f>IF($A123="","",IFERROR(MIN($H$3,$C123+$I123),""))</f>
        <v/>
      </c>
      <c r="E123" s="9">
        <f>IF($A123="","",IF($D$4="",0,$D$4))</f>
        <v/>
      </c>
      <c r="F123" s="16" t="n"/>
      <c r="G123" s="9">
        <f>IF($A123="","",IFERROR(MIN($C123+$I123,$D123+$E123+IF($F123="",0,$F123)),""))</f>
        <v/>
      </c>
      <c r="H123" s="9">
        <f>IF($A123="","",IFERROR(MAX(0,$G123-$I123),""))</f>
        <v/>
      </c>
      <c r="I123" s="9">
        <f>IF($A123="","",IFERROR($C123*$D$3/12,""))</f>
        <v/>
      </c>
      <c r="J123" s="9">
        <f>IF($A123="","",IFERROR(MAX(0,$C123-$H123),""))</f>
        <v/>
      </c>
      <c r="K123" s="14" t="n"/>
    </row>
    <row r="124">
      <c r="A124" s="29">
        <f>IF(OR($B$3="",$D$3="",$F$3="",$H$3="",$B$4="",118&gt;$F$3,$J123="",IFERROR($J123&lt;=0,TRUE)),"",118)</f>
        <v/>
      </c>
      <c r="B124" s="21">
        <f>IF($A124="","",IFERROR(EDATE($B$4,$A124-1),""))</f>
        <v/>
      </c>
      <c r="C124" s="10">
        <f>IF($A124="","",$J123)</f>
        <v/>
      </c>
      <c r="D124" s="10">
        <f>IF($A124="","",IFERROR(MIN($H$3,$C124+$I124),""))</f>
        <v/>
      </c>
      <c r="E124" s="10">
        <f>IF($A124="","",IF($D$4="",0,$D$4))</f>
        <v/>
      </c>
      <c r="F124" s="16" t="n"/>
      <c r="G124" s="10">
        <f>IF($A124="","",IFERROR(MIN($C124+$I124,$D124+$E124+IF($F124="",0,$F124)),""))</f>
        <v/>
      </c>
      <c r="H124" s="10">
        <f>IF($A124="","",IFERROR(MAX(0,$G124-$I124),""))</f>
        <v/>
      </c>
      <c r="I124" s="10">
        <f>IF($A124="","",IFERROR($C124*$D$3/12,""))</f>
        <v/>
      </c>
      <c r="J124" s="10">
        <f>IF($A124="","",IFERROR(MAX(0,$C124-$H124),""))</f>
        <v/>
      </c>
      <c r="K124" s="14" t="n"/>
    </row>
    <row r="125">
      <c r="A125" s="28">
        <f>IF(OR($B$3="",$D$3="",$F$3="",$H$3="",$B$4="",119&gt;$F$3,$J124="",IFERROR($J124&lt;=0,TRUE)),"",119)</f>
        <v/>
      </c>
      <c r="B125" s="19">
        <f>IF($A125="","",IFERROR(EDATE($B$4,$A125-1),""))</f>
        <v/>
      </c>
      <c r="C125" s="9">
        <f>IF($A125="","",$J124)</f>
        <v/>
      </c>
      <c r="D125" s="9">
        <f>IF($A125="","",IFERROR(MIN($H$3,$C125+$I125),""))</f>
        <v/>
      </c>
      <c r="E125" s="9">
        <f>IF($A125="","",IF($D$4="",0,$D$4))</f>
        <v/>
      </c>
      <c r="F125" s="16" t="n"/>
      <c r="G125" s="9">
        <f>IF($A125="","",IFERROR(MIN($C125+$I125,$D125+$E125+IF($F125="",0,$F125)),""))</f>
        <v/>
      </c>
      <c r="H125" s="9">
        <f>IF($A125="","",IFERROR(MAX(0,$G125-$I125),""))</f>
        <v/>
      </c>
      <c r="I125" s="9">
        <f>IF($A125="","",IFERROR($C125*$D$3/12,""))</f>
        <v/>
      </c>
      <c r="J125" s="9">
        <f>IF($A125="","",IFERROR(MAX(0,$C125-$H125),""))</f>
        <v/>
      </c>
      <c r="K125" s="14" t="n"/>
    </row>
    <row r="126">
      <c r="A126" s="29">
        <f>IF(OR($B$3="",$D$3="",$F$3="",$H$3="",$B$4="",120&gt;$F$3,$J125="",IFERROR($J125&lt;=0,TRUE)),"",120)</f>
        <v/>
      </c>
      <c r="B126" s="21">
        <f>IF($A126="","",IFERROR(EDATE($B$4,$A126-1),""))</f>
        <v/>
      </c>
      <c r="C126" s="10">
        <f>IF($A126="","",$J125)</f>
        <v/>
      </c>
      <c r="D126" s="10">
        <f>IF($A126="","",IFERROR(MIN($H$3,$C126+$I126),""))</f>
        <v/>
      </c>
      <c r="E126" s="10">
        <f>IF($A126="","",IF($D$4="",0,$D$4))</f>
        <v/>
      </c>
      <c r="F126" s="16" t="n"/>
      <c r="G126" s="10">
        <f>IF($A126="","",IFERROR(MIN($C126+$I126,$D126+$E126+IF($F126="",0,$F126)),""))</f>
        <v/>
      </c>
      <c r="H126" s="10">
        <f>IF($A126="","",IFERROR(MAX(0,$G126-$I126),""))</f>
        <v/>
      </c>
      <c r="I126" s="10">
        <f>IF($A126="","",IFERROR($C126*$D$3/12,""))</f>
        <v/>
      </c>
      <c r="J126" s="10">
        <f>IF($A126="","",IFERROR(MAX(0,$C126-$H126),""))</f>
        <v/>
      </c>
      <c r="K126" s="14" t="n"/>
    </row>
    <row r="127">
      <c r="A127" s="28">
        <f>IF(OR($B$3="",$D$3="",$F$3="",$H$3="",$B$4="",121&gt;$F$3,$J126="",IFERROR($J126&lt;=0,TRUE)),"",121)</f>
        <v/>
      </c>
      <c r="B127" s="19">
        <f>IF($A127="","",IFERROR(EDATE($B$4,$A127-1),""))</f>
        <v/>
      </c>
      <c r="C127" s="9">
        <f>IF($A127="","",$J126)</f>
        <v/>
      </c>
      <c r="D127" s="9">
        <f>IF($A127="","",IFERROR(MIN($H$3,$C127+$I127),""))</f>
        <v/>
      </c>
      <c r="E127" s="9">
        <f>IF($A127="","",IF($D$4="",0,$D$4))</f>
        <v/>
      </c>
      <c r="F127" s="16" t="n"/>
      <c r="G127" s="9">
        <f>IF($A127="","",IFERROR(MIN($C127+$I127,$D127+$E127+IF($F127="",0,$F127)),""))</f>
        <v/>
      </c>
      <c r="H127" s="9">
        <f>IF($A127="","",IFERROR(MAX(0,$G127-$I127),""))</f>
        <v/>
      </c>
      <c r="I127" s="9">
        <f>IF($A127="","",IFERROR($C127*$D$3/12,""))</f>
        <v/>
      </c>
      <c r="J127" s="9">
        <f>IF($A127="","",IFERROR(MAX(0,$C127-$H127),""))</f>
        <v/>
      </c>
      <c r="K127" s="14" t="n"/>
    </row>
    <row r="128">
      <c r="A128" s="29">
        <f>IF(OR($B$3="",$D$3="",$F$3="",$H$3="",$B$4="",122&gt;$F$3,$J127="",IFERROR($J127&lt;=0,TRUE)),"",122)</f>
        <v/>
      </c>
      <c r="B128" s="21">
        <f>IF($A128="","",IFERROR(EDATE($B$4,$A128-1),""))</f>
        <v/>
      </c>
      <c r="C128" s="10">
        <f>IF($A128="","",$J127)</f>
        <v/>
      </c>
      <c r="D128" s="10">
        <f>IF($A128="","",IFERROR(MIN($H$3,$C128+$I128),""))</f>
        <v/>
      </c>
      <c r="E128" s="10">
        <f>IF($A128="","",IF($D$4="",0,$D$4))</f>
        <v/>
      </c>
      <c r="F128" s="16" t="n"/>
      <c r="G128" s="10">
        <f>IF($A128="","",IFERROR(MIN($C128+$I128,$D128+$E128+IF($F128="",0,$F128)),""))</f>
        <v/>
      </c>
      <c r="H128" s="10">
        <f>IF($A128="","",IFERROR(MAX(0,$G128-$I128),""))</f>
        <v/>
      </c>
      <c r="I128" s="10">
        <f>IF($A128="","",IFERROR($C128*$D$3/12,""))</f>
        <v/>
      </c>
      <c r="J128" s="10">
        <f>IF($A128="","",IFERROR(MAX(0,$C128-$H128),""))</f>
        <v/>
      </c>
      <c r="K128" s="14" t="n"/>
    </row>
    <row r="129">
      <c r="A129" s="28">
        <f>IF(OR($B$3="",$D$3="",$F$3="",$H$3="",$B$4="",123&gt;$F$3,$J128="",IFERROR($J128&lt;=0,TRUE)),"",123)</f>
        <v/>
      </c>
      <c r="B129" s="19">
        <f>IF($A129="","",IFERROR(EDATE($B$4,$A129-1),""))</f>
        <v/>
      </c>
      <c r="C129" s="9">
        <f>IF($A129="","",$J128)</f>
        <v/>
      </c>
      <c r="D129" s="9">
        <f>IF($A129="","",IFERROR(MIN($H$3,$C129+$I129),""))</f>
        <v/>
      </c>
      <c r="E129" s="9">
        <f>IF($A129="","",IF($D$4="",0,$D$4))</f>
        <v/>
      </c>
      <c r="F129" s="16" t="n"/>
      <c r="G129" s="9">
        <f>IF($A129="","",IFERROR(MIN($C129+$I129,$D129+$E129+IF($F129="",0,$F129)),""))</f>
        <v/>
      </c>
      <c r="H129" s="9">
        <f>IF($A129="","",IFERROR(MAX(0,$G129-$I129),""))</f>
        <v/>
      </c>
      <c r="I129" s="9">
        <f>IF($A129="","",IFERROR($C129*$D$3/12,""))</f>
        <v/>
      </c>
      <c r="J129" s="9">
        <f>IF($A129="","",IFERROR(MAX(0,$C129-$H129),""))</f>
        <v/>
      </c>
      <c r="K129" s="14" t="n"/>
    </row>
    <row r="130">
      <c r="A130" s="29">
        <f>IF(OR($B$3="",$D$3="",$F$3="",$H$3="",$B$4="",124&gt;$F$3,$J129="",IFERROR($J129&lt;=0,TRUE)),"",124)</f>
        <v/>
      </c>
      <c r="B130" s="21">
        <f>IF($A130="","",IFERROR(EDATE($B$4,$A130-1),""))</f>
        <v/>
      </c>
      <c r="C130" s="10">
        <f>IF($A130="","",$J129)</f>
        <v/>
      </c>
      <c r="D130" s="10">
        <f>IF($A130="","",IFERROR(MIN($H$3,$C130+$I130),""))</f>
        <v/>
      </c>
      <c r="E130" s="10">
        <f>IF($A130="","",IF($D$4="",0,$D$4))</f>
        <v/>
      </c>
      <c r="F130" s="16" t="n"/>
      <c r="G130" s="10">
        <f>IF($A130="","",IFERROR(MIN($C130+$I130,$D130+$E130+IF($F130="",0,$F130)),""))</f>
        <v/>
      </c>
      <c r="H130" s="10">
        <f>IF($A130="","",IFERROR(MAX(0,$G130-$I130),""))</f>
        <v/>
      </c>
      <c r="I130" s="10">
        <f>IF($A130="","",IFERROR($C130*$D$3/12,""))</f>
        <v/>
      </c>
      <c r="J130" s="10">
        <f>IF($A130="","",IFERROR(MAX(0,$C130-$H130),""))</f>
        <v/>
      </c>
      <c r="K130" s="14" t="n"/>
    </row>
    <row r="131">
      <c r="A131" s="28">
        <f>IF(OR($B$3="",$D$3="",$F$3="",$H$3="",$B$4="",125&gt;$F$3,$J130="",IFERROR($J130&lt;=0,TRUE)),"",125)</f>
        <v/>
      </c>
      <c r="B131" s="19">
        <f>IF($A131="","",IFERROR(EDATE($B$4,$A131-1),""))</f>
        <v/>
      </c>
      <c r="C131" s="9">
        <f>IF($A131="","",$J130)</f>
        <v/>
      </c>
      <c r="D131" s="9">
        <f>IF($A131="","",IFERROR(MIN($H$3,$C131+$I131),""))</f>
        <v/>
      </c>
      <c r="E131" s="9">
        <f>IF($A131="","",IF($D$4="",0,$D$4))</f>
        <v/>
      </c>
      <c r="F131" s="16" t="n"/>
      <c r="G131" s="9">
        <f>IF($A131="","",IFERROR(MIN($C131+$I131,$D131+$E131+IF($F131="",0,$F131)),""))</f>
        <v/>
      </c>
      <c r="H131" s="9">
        <f>IF($A131="","",IFERROR(MAX(0,$G131-$I131),""))</f>
        <v/>
      </c>
      <c r="I131" s="9">
        <f>IF($A131="","",IFERROR($C131*$D$3/12,""))</f>
        <v/>
      </c>
      <c r="J131" s="9">
        <f>IF($A131="","",IFERROR(MAX(0,$C131-$H131),""))</f>
        <v/>
      </c>
      <c r="K131" s="14" t="n"/>
    </row>
    <row r="132">
      <c r="A132" s="29">
        <f>IF(OR($B$3="",$D$3="",$F$3="",$H$3="",$B$4="",126&gt;$F$3,$J131="",IFERROR($J131&lt;=0,TRUE)),"",126)</f>
        <v/>
      </c>
      <c r="B132" s="21">
        <f>IF($A132="","",IFERROR(EDATE($B$4,$A132-1),""))</f>
        <v/>
      </c>
      <c r="C132" s="10">
        <f>IF($A132="","",$J131)</f>
        <v/>
      </c>
      <c r="D132" s="10">
        <f>IF($A132="","",IFERROR(MIN($H$3,$C132+$I132),""))</f>
        <v/>
      </c>
      <c r="E132" s="10">
        <f>IF($A132="","",IF($D$4="",0,$D$4))</f>
        <v/>
      </c>
      <c r="F132" s="16" t="n"/>
      <c r="G132" s="10">
        <f>IF($A132="","",IFERROR(MIN($C132+$I132,$D132+$E132+IF($F132="",0,$F132)),""))</f>
        <v/>
      </c>
      <c r="H132" s="10">
        <f>IF($A132="","",IFERROR(MAX(0,$G132-$I132),""))</f>
        <v/>
      </c>
      <c r="I132" s="10">
        <f>IF($A132="","",IFERROR($C132*$D$3/12,""))</f>
        <v/>
      </c>
      <c r="J132" s="10">
        <f>IF($A132="","",IFERROR(MAX(0,$C132-$H132),""))</f>
        <v/>
      </c>
      <c r="K132" s="14" t="n"/>
    </row>
    <row r="133">
      <c r="A133" s="28">
        <f>IF(OR($B$3="",$D$3="",$F$3="",$H$3="",$B$4="",127&gt;$F$3,$J132="",IFERROR($J132&lt;=0,TRUE)),"",127)</f>
        <v/>
      </c>
      <c r="B133" s="19">
        <f>IF($A133="","",IFERROR(EDATE($B$4,$A133-1),""))</f>
        <v/>
      </c>
      <c r="C133" s="9">
        <f>IF($A133="","",$J132)</f>
        <v/>
      </c>
      <c r="D133" s="9">
        <f>IF($A133="","",IFERROR(MIN($H$3,$C133+$I133),""))</f>
        <v/>
      </c>
      <c r="E133" s="9">
        <f>IF($A133="","",IF($D$4="",0,$D$4))</f>
        <v/>
      </c>
      <c r="F133" s="16" t="n"/>
      <c r="G133" s="9">
        <f>IF($A133="","",IFERROR(MIN($C133+$I133,$D133+$E133+IF($F133="",0,$F133)),""))</f>
        <v/>
      </c>
      <c r="H133" s="9">
        <f>IF($A133="","",IFERROR(MAX(0,$G133-$I133),""))</f>
        <v/>
      </c>
      <c r="I133" s="9">
        <f>IF($A133="","",IFERROR($C133*$D$3/12,""))</f>
        <v/>
      </c>
      <c r="J133" s="9">
        <f>IF($A133="","",IFERROR(MAX(0,$C133-$H133),""))</f>
        <v/>
      </c>
      <c r="K133" s="14" t="n"/>
    </row>
    <row r="134">
      <c r="A134" s="29">
        <f>IF(OR($B$3="",$D$3="",$F$3="",$H$3="",$B$4="",128&gt;$F$3,$J133="",IFERROR($J133&lt;=0,TRUE)),"",128)</f>
        <v/>
      </c>
      <c r="B134" s="21">
        <f>IF($A134="","",IFERROR(EDATE($B$4,$A134-1),""))</f>
        <v/>
      </c>
      <c r="C134" s="10">
        <f>IF($A134="","",$J133)</f>
        <v/>
      </c>
      <c r="D134" s="10">
        <f>IF($A134="","",IFERROR(MIN($H$3,$C134+$I134),""))</f>
        <v/>
      </c>
      <c r="E134" s="10">
        <f>IF($A134="","",IF($D$4="",0,$D$4))</f>
        <v/>
      </c>
      <c r="F134" s="16" t="n"/>
      <c r="G134" s="10">
        <f>IF($A134="","",IFERROR(MIN($C134+$I134,$D134+$E134+IF($F134="",0,$F134)),""))</f>
        <v/>
      </c>
      <c r="H134" s="10">
        <f>IF($A134="","",IFERROR(MAX(0,$G134-$I134),""))</f>
        <v/>
      </c>
      <c r="I134" s="10">
        <f>IF($A134="","",IFERROR($C134*$D$3/12,""))</f>
        <v/>
      </c>
      <c r="J134" s="10">
        <f>IF($A134="","",IFERROR(MAX(0,$C134-$H134),""))</f>
        <v/>
      </c>
      <c r="K134" s="14" t="n"/>
    </row>
    <row r="135">
      <c r="A135" s="28">
        <f>IF(OR($B$3="",$D$3="",$F$3="",$H$3="",$B$4="",129&gt;$F$3,$J134="",IFERROR($J134&lt;=0,TRUE)),"",129)</f>
        <v/>
      </c>
      <c r="B135" s="19">
        <f>IF($A135="","",IFERROR(EDATE($B$4,$A135-1),""))</f>
        <v/>
      </c>
      <c r="C135" s="9">
        <f>IF($A135="","",$J134)</f>
        <v/>
      </c>
      <c r="D135" s="9">
        <f>IF($A135="","",IFERROR(MIN($H$3,$C135+$I135),""))</f>
        <v/>
      </c>
      <c r="E135" s="9">
        <f>IF($A135="","",IF($D$4="",0,$D$4))</f>
        <v/>
      </c>
      <c r="F135" s="16" t="n"/>
      <c r="G135" s="9">
        <f>IF($A135="","",IFERROR(MIN($C135+$I135,$D135+$E135+IF($F135="",0,$F135)),""))</f>
        <v/>
      </c>
      <c r="H135" s="9">
        <f>IF($A135="","",IFERROR(MAX(0,$G135-$I135),""))</f>
        <v/>
      </c>
      <c r="I135" s="9">
        <f>IF($A135="","",IFERROR($C135*$D$3/12,""))</f>
        <v/>
      </c>
      <c r="J135" s="9">
        <f>IF($A135="","",IFERROR(MAX(0,$C135-$H135),""))</f>
        <v/>
      </c>
      <c r="K135" s="14" t="n"/>
    </row>
    <row r="136">
      <c r="A136" s="29">
        <f>IF(OR($B$3="",$D$3="",$F$3="",$H$3="",$B$4="",130&gt;$F$3,$J135="",IFERROR($J135&lt;=0,TRUE)),"",130)</f>
        <v/>
      </c>
      <c r="B136" s="21">
        <f>IF($A136="","",IFERROR(EDATE($B$4,$A136-1),""))</f>
        <v/>
      </c>
      <c r="C136" s="10">
        <f>IF($A136="","",$J135)</f>
        <v/>
      </c>
      <c r="D136" s="10">
        <f>IF($A136="","",IFERROR(MIN($H$3,$C136+$I136),""))</f>
        <v/>
      </c>
      <c r="E136" s="10">
        <f>IF($A136="","",IF($D$4="",0,$D$4))</f>
        <v/>
      </c>
      <c r="F136" s="16" t="n"/>
      <c r="G136" s="10">
        <f>IF($A136="","",IFERROR(MIN($C136+$I136,$D136+$E136+IF($F136="",0,$F136)),""))</f>
        <v/>
      </c>
      <c r="H136" s="10">
        <f>IF($A136="","",IFERROR(MAX(0,$G136-$I136),""))</f>
        <v/>
      </c>
      <c r="I136" s="10">
        <f>IF($A136="","",IFERROR($C136*$D$3/12,""))</f>
        <v/>
      </c>
      <c r="J136" s="10">
        <f>IF($A136="","",IFERROR(MAX(0,$C136-$H136),""))</f>
        <v/>
      </c>
      <c r="K136" s="14" t="n"/>
    </row>
    <row r="137">
      <c r="A137" s="28">
        <f>IF(OR($B$3="",$D$3="",$F$3="",$H$3="",$B$4="",131&gt;$F$3,$J136="",IFERROR($J136&lt;=0,TRUE)),"",131)</f>
        <v/>
      </c>
      <c r="B137" s="19">
        <f>IF($A137="","",IFERROR(EDATE($B$4,$A137-1),""))</f>
        <v/>
      </c>
      <c r="C137" s="9">
        <f>IF($A137="","",$J136)</f>
        <v/>
      </c>
      <c r="D137" s="9">
        <f>IF($A137="","",IFERROR(MIN($H$3,$C137+$I137),""))</f>
        <v/>
      </c>
      <c r="E137" s="9">
        <f>IF($A137="","",IF($D$4="",0,$D$4))</f>
        <v/>
      </c>
      <c r="F137" s="16" t="n"/>
      <c r="G137" s="9">
        <f>IF($A137="","",IFERROR(MIN($C137+$I137,$D137+$E137+IF($F137="",0,$F137)),""))</f>
        <v/>
      </c>
      <c r="H137" s="9">
        <f>IF($A137="","",IFERROR(MAX(0,$G137-$I137),""))</f>
        <v/>
      </c>
      <c r="I137" s="9">
        <f>IF($A137="","",IFERROR($C137*$D$3/12,""))</f>
        <v/>
      </c>
      <c r="J137" s="9">
        <f>IF($A137="","",IFERROR(MAX(0,$C137-$H137),""))</f>
        <v/>
      </c>
      <c r="K137" s="14" t="n"/>
    </row>
    <row r="138">
      <c r="A138" s="29">
        <f>IF(OR($B$3="",$D$3="",$F$3="",$H$3="",$B$4="",132&gt;$F$3,$J137="",IFERROR($J137&lt;=0,TRUE)),"",132)</f>
        <v/>
      </c>
      <c r="B138" s="21">
        <f>IF($A138="","",IFERROR(EDATE($B$4,$A138-1),""))</f>
        <v/>
      </c>
      <c r="C138" s="10">
        <f>IF($A138="","",$J137)</f>
        <v/>
      </c>
      <c r="D138" s="10">
        <f>IF($A138="","",IFERROR(MIN($H$3,$C138+$I138),""))</f>
        <v/>
      </c>
      <c r="E138" s="10">
        <f>IF($A138="","",IF($D$4="",0,$D$4))</f>
        <v/>
      </c>
      <c r="F138" s="16" t="n"/>
      <c r="G138" s="10">
        <f>IF($A138="","",IFERROR(MIN($C138+$I138,$D138+$E138+IF($F138="",0,$F138)),""))</f>
        <v/>
      </c>
      <c r="H138" s="10">
        <f>IF($A138="","",IFERROR(MAX(0,$G138-$I138),""))</f>
        <v/>
      </c>
      <c r="I138" s="10">
        <f>IF($A138="","",IFERROR($C138*$D$3/12,""))</f>
        <v/>
      </c>
      <c r="J138" s="10">
        <f>IF($A138="","",IFERROR(MAX(0,$C138-$H138),""))</f>
        <v/>
      </c>
      <c r="K138" s="14" t="n"/>
    </row>
    <row r="139">
      <c r="A139" s="28">
        <f>IF(OR($B$3="",$D$3="",$F$3="",$H$3="",$B$4="",133&gt;$F$3,$J138="",IFERROR($J138&lt;=0,TRUE)),"",133)</f>
        <v/>
      </c>
      <c r="B139" s="19">
        <f>IF($A139="","",IFERROR(EDATE($B$4,$A139-1),""))</f>
        <v/>
      </c>
      <c r="C139" s="9">
        <f>IF($A139="","",$J138)</f>
        <v/>
      </c>
      <c r="D139" s="9">
        <f>IF($A139="","",IFERROR(MIN($H$3,$C139+$I139),""))</f>
        <v/>
      </c>
      <c r="E139" s="9">
        <f>IF($A139="","",IF($D$4="",0,$D$4))</f>
        <v/>
      </c>
      <c r="F139" s="16" t="n"/>
      <c r="G139" s="9">
        <f>IF($A139="","",IFERROR(MIN($C139+$I139,$D139+$E139+IF($F139="",0,$F139)),""))</f>
        <v/>
      </c>
      <c r="H139" s="9">
        <f>IF($A139="","",IFERROR(MAX(0,$G139-$I139),""))</f>
        <v/>
      </c>
      <c r="I139" s="9">
        <f>IF($A139="","",IFERROR($C139*$D$3/12,""))</f>
        <v/>
      </c>
      <c r="J139" s="9">
        <f>IF($A139="","",IFERROR(MAX(0,$C139-$H139),""))</f>
        <v/>
      </c>
      <c r="K139" s="14" t="n"/>
    </row>
    <row r="140">
      <c r="A140" s="29">
        <f>IF(OR($B$3="",$D$3="",$F$3="",$H$3="",$B$4="",134&gt;$F$3,$J139="",IFERROR($J139&lt;=0,TRUE)),"",134)</f>
        <v/>
      </c>
      <c r="B140" s="21">
        <f>IF($A140="","",IFERROR(EDATE($B$4,$A140-1),""))</f>
        <v/>
      </c>
      <c r="C140" s="10">
        <f>IF($A140="","",$J139)</f>
        <v/>
      </c>
      <c r="D140" s="10">
        <f>IF($A140="","",IFERROR(MIN($H$3,$C140+$I140),""))</f>
        <v/>
      </c>
      <c r="E140" s="10">
        <f>IF($A140="","",IF($D$4="",0,$D$4))</f>
        <v/>
      </c>
      <c r="F140" s="16" t="n"/>
      <c r="G140" s="10">
        <f>IF($A140="","",IFERROR(MIN($C140+$I140,$D140+$E140+IF($F140="",0,$F140)),""))</f>
        <v/>
      </c>
      <c r="H140" s="10">
        <f>IF($A140="","",IFERROR(MAX(0,$G140-$I140),""))</f>
        <v/>
      </c>
      <c r="I140" s="10">
        <f>IF($A140="","",IFERROR($C140*$D$3/12,""))</f>
        <v/>
      </c>
      <c r="J140" s="10">
        <f>IF($A140="","",IFERROR(MAX(0,$C140-$H140),""))</f>
        <v/>
      </c>
      <c r="K140" s="14" t="n"/>
    </row>
    <row r="141">
      <c r="A141" s="28">
        <f>IF(OR($B$3="",$D$3="",$F$3="",$H$3="",$B$4="",135&gt;$F$3,$J140="",IFERROR($J140&lt;=0,TRUE)),"",135)</f>
        <v/>
      </c>
      <c r="B141" s="19">
        <f>IF($A141="","",IFERROR(EDATE($B$4,$A141-1),""))</f>
        <v/>
      </c>
      <c r="C141" s="9">
        <f>IF($A141="","",$J140)</f>
        <v/>
      </c>
      <c r="D141" s="9">
        <f>IF($A141="","",IFERROR(MIN($H$3,$C141+$I141),""))</f>
        <v/>
      </c>
      <c r="E141" s="9">
        <f>IF($A141="","",IF($D$4="",0,$D$4))</f>
        <v/>
      </c>
      <c r="F141" s="16" t="n"/>
      <c r="G141" s="9">
        <f>IF($A141="","",IFERROR(MIN($C141+$I141,$D141+$E141+IF($F141="",0,$F141)),""))</f>
        <v/>
      </c>
      <c r="H141" s="9">
        <f>IF($A141="","",IFERROR(MAX(0,$G141-$I141),""))</f>
        <v/>
      </c>
      <c r="I141" s="9">
        <f>IF($A141="","",IFERROR($C141*$D$3/12,""))</f>
        <v/>
      </c>
      <c r="J141" s="9">
        <f>IF($A141="","",IFERROR(MAX(0,$C141-$H141),""))</f>
        <v/>
      </c>
      <c r="K141" s="14" t="n"/>
    </row>
    <row r="142">
      <c r="A142" s="29">
        <f>IF(OR($B$3="",$D$3="",$F$3="",$H$3="",$B$4="",136&gt;$F$3,$J141="",IFERROR($J141&lt;=0,TRUE)),"",136)</f>
        <v/>
      </c>
      <c r="B142" s="21">
        <f>IF($A142="","",IFERROR(EDATE($B$4,$A142-1),""))</f>
        <v/>
      </c>
      <c r="C142" s="10">
        <f>IF($A142="","",$J141)</f>
        <v/>
      </c>
      <c r="D142" s="10">
        <f>IF($A142="","",IFERROR(MIN($H$3,$C142+$I142),""))</f>
        <v/>
      </c>
      <c r="E142" s="10">
        <f>IF($A142="","",IF($D$4="",0,$D$4))</f>
        <v/>
      </c>
      <c r="F142" s="16" t="n"/>
      <c r="G142" s="10">
        <f>IF($A142="","",IFERROR(MIN($C142+$I142,$D142+$E142+IF($F142="",0,$F142)),""))</f>
        <v/>
      </c>
      <c r="H142" s="10">
        <f>IF($A142="","",IFERROR(MAX(0,$G142-$I142),""))</f>
        <v/>
      </c>
      <c r="I142" s="10">
        <f>IF($A142="","",IFERROR($C142*$D$3/12,""))</f>
        <v/>
      </c>
      <c r="J142" s="10">
        <f>IF($A142="","",IFERROR(MAX(0,$C142-$H142),""))</f>
        <v/>
      </c>
      <c r="K142" s="14" t="n"/>
    </row>
    <row r="143">
      <c r="A143" s="28">
        <f>IF(OR($B$3="",$D$3="",$F$3="",$H$3="",$B$4="",137&gt;$F$3,$J142="",IFERROR($J142&lt;=0,TRUE)),"",137)</f>
        <v/>
      </c>
      <c r="B143" s="19">
        <f>IF($A143="","",IFERROR(EDATE($B$4,$A143-1),""))</f>
        <v/>
      </c>
      <c r="C143" s="9">
        <f>IF($A143="","",$J142)</f>
        <v/>
      </c>
      <c r="D143" s="9">
        <f>IF($A143="","",IFERROR(MIN($H$3,$C143+$I143),""))</f>
        <v/>
      </c>
      <c r="E143" s="9">
        <f>IF($A143="","",IF($D$4="",0,$D$4))</f>
        <v/>
      </c>
      <c r="F143" s="16" t="n"/>
      <c r="G143" s="9">
        <f>IF($A143="","",IFERROR(MIN($C143+$I143,$D143+$E143+IF($F143="",0,$F143)),""))</f>
        <v/>
      </c>
      <c r="H143" s="9">
        <f>IF($A143="","",IFERROR(MAX(0,$G143-$I143),""))</f>
        <v/>
      </c>
      <c r="I143" s="9">
        <f>IF($A143="","",IFERROR($C143*$D$3/12,""))</f>
        <v/>
      </c>
      <c r="J143" s="9">
        <f>IF($A143="","",IFERROR(MAX(0,$C143-$H143),""))</f>
        <v/>
      </c>
      <c r="K143" s="14" t="n"/>
    </row>
    <row r="144">
      <c r="A144" s="29">
        <f>IF(OR($B$3="",$D$3="",$F$3="",$H$3="",$B$4="",138&gt;$F$3,$J143="",IFERROR($J143&lt;=0,TRUE)),"",138)</f>
        <v/>
      </c>
      <c r="B144" s="21">
        <f>IF($A144="","",IFERROR(EDATE($B$4,$A144-1),""))</f>
        <v/>
      </c>
      <c r="C144" s="10">
        <f>IF($A144="","",$J143)</f>
        <v/>
      </c>
      <c r="D144" s="10">
        <f>IF($A144="","",IFERROR(MIN($H$3,$C144+$I144),""))</f>
        <v/>
      </c>
      <c r="E144" s="10">
        <f>IF($A144="","",IF($D$4="",0,$D$4))</f>
        <v/>
      </c>
      <c r="F144" s="16" t="n"/>
      <c r="G144" s="10">
        <f>IF($A144="","",IFERROR(MIN($C144+$I144,$D144+$E144+IF($F144="",0,$F144)),""))</f>
        <v/>
      </c>
      <c r="H144" s="10">
        <f>IF($A144="","",IFERROR(MAX(0,$G144-$I144),""))</f>
        <v/>
      </c>
      <c r="I144" s="10">
        <f>IF($A144="","",IFERROR($C144*$D$3/12,""))</f>
        <v/>
      </c>
      <c r="J144" s="10">
        <f>IF($A144="","",IFERROR(MAX(0,$C144-$H144),""))</f>
        <v/>
      </c>
      <c r="K144" s="14" t="n"/>
    </row>
    <row r="145">
      <c r="A145" s="28">
        <f>IF(OR($B$3="",$D$3="",$F$3="",$H$3="",$B$4="",139&gt;$F$3,$J144="",IFERROR($J144&lt;=0,TRUE)),"",139)</f>
        <v/>
      </c>
      <c r="B145" s="19">
        <f>IF($A145="","",IFERROR(EDATE($B$4,$A145-1),""))</f>
        <v/>
      </c>
      <c r="C145" s="9">
        <f>IF($A145="","",$J144)</f>
        <v/>
      </c>
      <c r="D145" s="9">
        <f>IF($A145="","",IFERROR(MIN($H$3,$C145+$I145),""))</f>
        <v/>
      </c>
      <c r="E145" s="9">
        <f>IF($A145="","",IF($D$4="",0,$D$4))</f>
        <v/>
      </c>
      <c r="F145" s="16" t="n"/>
      <c r="G145" s="9">
        <f>IF($A145="","",IFERROR(MIN($C145+$I145,$D145+$E145+IF($F145="",0,$F145)),""))</f>
        <v/>
      </c>
      <c r="H145" s="9">
        <f>IF($A145="","",IFERROR(MAX(0,$G145-$I145),""))</f>
        <v/>
      </c>
      <c r="I145" s="9">
        <f>IF($A145="","",IFERROR($C145*$D$3/12,""))</f>
        <v/>
      </c>
      <c r="J145" s="9">
        <f>IF($A145="","",IFERROR(MAX(0,$C145-$H145),""))</f>
        <v/>
      </c>
      <c r="K145" s="14" t="n"/>
    </row>
    <row r="146">
      <c r="A146" s="29">
        <f>IF(OR($B$3="",$D$3="",$F$3="",$H$3="",$B$4="",140&gt;$F$3,$J145="",IFERROR($J145&lt;=0,TRUE)),"",140)</f>
        <v/>
      </c>
      <c r="B146" s="21">
        <f>IF($A146="","",IFERROR(EDATE($B$4,$A146-1),""))</f>
        <v/>
      </c>
      <c r="C146" s="10">
        <f>IF($A146="","",$J145)</f>
        <v/>
      </c>
      <c r="D146" s="10">
        <f>IF($A146="","",IFERROR(MIN($H$3,$C146+$I146),""))</f>
        <v/>
      </c>
      <c r="E146" s="10">
        <f>IF($A146="","",IF($D$4="",0,$D$4))</f>
        <v/>
      </c>
      <c r="F146" s="16" t="n"/>
      <c r="G146" s="10">
        <f>IF($A146="","",IFERROR(MIN($C146+$I146,$D146+$E146+IF($F146="",0,$F146)),""))</f>
        <v/>
      </c>
      <c r="H146" s="10">
        <f>IF($A146="","",IFERROR(MAX(0,$G146-$I146),""))</f>
        <v/>
      </c>
      <c r="I146" s="10">
        <f>IF($A146="","",IFERROR($C146*$D$3/12,""))</f>
        <v/>
      </c>
      <c r="J146" s="10">
        <f>IF($A146="","",IFERROR(MAX(0,$C146-$H146),""))</f>
        <v/>
      </c>
      <c r="K146" s="14" t="n"/>
    </row>
    <row r="147">
      <c r="A147" s="28">
        <f>IF(OR($B$3="",$D$3="",$F$3="",$H$3="",$B$4="",141&gt;$F$3,$J146="",IFERROR($J146&lt;=0,TRUE)),"",141)</f>
        <v/>
      </c>
      <c r="B147" s="19">
        <f>IF($A147="","",IFERROR(EDATE($B$4,$A147-1),""))</f>
        <v/>
      </c>
      <c r="C147" s="9">
        <f>IF($A147="","",$J146)</f>
        <v/>
      </c>
      <c r="D147" s="9">
        <f>IF($A147="","",IFERROR(MIN($H$3,$C147+$I147),""))</f>
        <v/>
      </c>
      <c r="E147" s="9">
        <f>IF($A147="","",IF($D$4="",0,$D$4))</f>
        <v/>
      </c>
      <c r="F147" s="16" t="n"/>
      <c r="G147" s="9">
        <f>IF($A147="","",IFERROR(MIN($C147+$I147,$D147+$E147+IF($F147="",0,$F147)),""))</f>
        <v/>
      </c>
      <c r="H147" s="9">
        <f>IF($A147="","",IFERROR(MAX(0,$G147-$I147),""))</f>
        <v/>
      </c>
      <c r="I147" s="9">
        <f>IF($A147="","",IFERROR($C147*$D$3/12,""))</f>
        <v/>
      </c>
      <c r="J147" s="9">
        <f>IF($A147="","",IFERROR(MAX(0,$C147-$H147),""))</f>
        <v/>
      </c>
      <c r="K147" s="14" t="n"/>
    </row>
    <row r="148">
      <c r="A148" s="29">
        <f>IF(OR($B$3="",$D$3="",$F$3="",$H$3="",$B$4="",142&gt;$F$3,$J147="",IFERROR($J147&lt;=0,TRUE)),"",142)</f>
        <v/>
      </c>
      <c r="B148" s="21">
        <f>IF($A148="","",IFERROR(EDATE($B$4,$A148-1),""))</f>
        <v/>
      </c>
      <c r="C148" s="10">
        <f>IF($A148="","",$J147)</f>
        <v/>
      </c>
      <c r="D148" s="10">
        <f>IF($A148="","",IFERROR(MIN($H$3,$C148+$I148),""))</f>
        <v/>
      </c>
      <c r="E148" s="10">
        <f>IF($A148="","",IF($D$4="",0,$D$4))</f>
        <v/>
      </c>
      <c r="F148" s="16" t="n"/>
      <c r="G148" s="10">
        <f>IF($A148="","",IFERROR(MIN($C148+$I148,$D148+$E148+IF($F148="",0,$F148)),""))</f>
        <v/>
      </c>
      <c r="H148" s="10">
        <f>IF($A148="","",IFERROR(MAX(0,$G148-$I148),""))</f>
        <v/>
      </c>
      <c r="I148" s="10">
        <f>IF($A148="","",IFERROR($C148*$D$3/12,""))</f>
        <v/>
      </c>
      <c r="J148" s="10">
        <f>IF($A148="","",IFERROR(MAX(0,$C148-$H148),""))</f>
        <v/>
      </c>
      <c r="K148" s="14" t="n"/>
    </row>
    <row r="149">
      <c r="A149" s="28">
        <f>IF(OR($B$3="",$D$3="",$F$3="",$H$3="",$B$4="",143&gt;$F$3,$J148="",IFERROR($J148&lt;=0,TRUE)),"",143)</f>
        <v/>
      </c>
      <c r="B149" s="19">
        <f>IF($A149="","",IFERROR(EDATE($B$4,$A149-1),""))</f>
        <v/>
      </c>
      <c r="C149" s="9">
        <f>IF($A149="","",$J148)</f>
        <v/>
      </c>
      <c r="D149" s="9">
        <f>IF($A149="","",IFERROR(MIN($H$3,$C149+$I149),""))</f>
        <v/>
      </c>
      <c r="E149" s="9">
        <f>IF($A149="","",IF($D$4="",0,$D$4))</f>
        <v/>
      </c>
      <c r="F149" s="16" t="n"/>
      <c r="G149" s="9">
        <f>IF($A149="","",IFERROR(MIN($C149+$I149,$D149+$E149+IF($F149="",0,$F149)),""))</f>
        <v/>
      </c>
      <c r="H149" s="9">
        <f>IF($A149="","",IFERROR(MAX(0,$G149-$I149),""))</f>
        <v/>
      </c>
      <c r="I149" s="9">
        <f>IF($A149="","",IFERROR($C149*$D$3/12,""))</f>
        <v/>
      </c>
      <c r="J149" s="9">
        <f>IF($A149="","",IFERROR(MAX(0,$C149-$H149),""))</f>
        <v/>
      </c>
      <c r="K149" s="14" t="n"/>
    </row>
    <row r="150">
      <c r="A150" s="29">
        <f>IF(OR($B$3="",$D$3="",$F$3="",$H$3="",$B$4="",144&gt;$F$3,$J149="",IFERROR($J149&lt;=0,TRUE)),"",144)</f>
        <v/>
      </c>
      <c r="B150" s="21">
        <f>IF($A150="","",IFERROR(EDATE($B$4,$A150-1),""))</f>
        <v/>
      </c>
      <c r="C150" s="10">
        <f>IF($A150="","",$J149)</f>
        <v/>
      </c>
      <c r="D150" s="10">
        <f>IF($A150="","",IFERROR(MIN($H$3,$C150+$I150),""))</f>
        <v/>
      </c>
      <c r="E150" s="10">
        <f>IF($A150="","",IF($D$4="",0,$D$4))</f>
        <v/>
      </c>
      <c r="F150" s="16" t="n"/>
      <c r="G150" s="10">
        <f>IF($A150="","",IFERROR(MIN($C150+$I150,$D150+$E150+IF($F150="",0,$F150)),""))</f>
        <v/>
      </c>
      <c r="H150" s="10">
        <f>IF($A150="","",IFERROR(MAX(0,$G150-$I150),""))</f>
        <v/>
      </c>
      <c r="I150" s="10">
        <f>IF($A150="","",IFERROR($C150*$D$3/12,""))</f>
        <v/>
      </c>
      <c r="J150" s="10">
        <f>IF($A150="","",IFERROR(MAX(0,$C150-$H150),""))</f>
        <v/>
      </c>
      <c r="K150" s="14" t="n"/>
    </row>
    <row r="151">
      <c r="A151" s="28">
        <f>IF(OR($B$3="",$D$3="",$F$3="",$H$3="",$B$4="",145&gt;$F$3,$J150="",IFERROR($J150&lt;=0,TRUE)),"",145)</f>
        <v/>
      </c>
      <c r="B151" s="19">
        <f>IF($A151="","",IFERROR(EDATE($B$4,$A151-1),""))</f>
        <v/>
      </c>
      <c r="C151" s="9">
        <f>IF($A151="","",$J150)</f>
        <v/>
      </c>
      <c r="D151" s="9">
        <f>IF($A151="","",IFERROR(MIN($H$3,$C151+$I151),""))</f>
        <v/>
      </c>
      <c r="E151" s="9">
        <f>IF($A151="","",IF($D$4="",0,$D$4))</f>
        <v/>
      </c>
      <c r="F151" s="16" t="n"/>
      <c r="G151" s="9">
        <f>IF($A151="","",IFERROR(MIN($C151+$I151,$D151+$E151+IF($F151="",0,$F151)),""))</f>
        <v/>
      </c>
      <c r="H151" s="9">
        <f>IF($A151="","",IFERROR(MAX(0,$G151-$I151),""))</f>
        <v/>
      </c>
      <c r="I151" s="9">
        <f>IF($A151="","",IFERROR($C151*$D$3/12,""))</f>
        <v/>
      </c>
      <c r="J151" s="9">
        <f>IF($A151="","",IFERROR(MAX(0,$C151-$H151),""))</f>
        <v/>
      </c>
      <c r="K151" s="14" t="n"/>
    </row>
    <row r="152">
      <c r="A152" s="29">
        <f>IF(OR($B$3="",$D$3="",$F$3="",$H$3="",$B$4="",146&gt;$F$3,$J151="",IFERROR($J151&lt;=0,TRUE)),"",146)</f>
        <v/>
      </c>
      <c r="B152" s="21">
        <f>IF($A152="","",IFERROR(EDATE($B$4,$A152-1),""))</f>
        <v/>
      </c>
      <c r="C152" s="10">
        <f>IF($A152="","",$J151)</f>
        <v/>
      </c>
      <c r="D152" s="10">
        <f>IF($A152="","",IFERROR(MIN($H$3,$C152+$I152),""))</f>
        <v/>
      </c>
      <c r="E152" s="10">
        <f>IF($A152="","",IF($D$4="",0,$D$4))</f>
        <v/>
      </c>
      <c r="F152" s="16" t="n"/>
      <c r="G152" s="10">
        <f>IF($A152="","",IFERROR(MIN($C152+$I152,$D152+$E152+IF($F152="",0,$F152)),""))</f>
        <v/>
      </c>
      <c r="H152" s="10">
        <f>IF($A152="","",IFERROR(MAX(0,$G152-$I152),""))</f>
        <v/>
      </c>
      <c r="I152" s="10">
        <f>IF($A152="","",IFERROR($C152*$D$3/12,""))</f>
        <v/>
      </c>
      <c r="J152" s="10">
        <f>IF($A152="","",IFERROR(MAX(0,$C152-$H152),""))</f>
        <v/>
      </c>
      <c r="K152" s="14" t="n"/>
    </row>
    <row r="153">
      <c r="A153" s="28">
        <f>IF(OR($B$3="",$D$3="",$F$3="",$H$3="",$B$4="",147&gt;$F$3,$J152="",IFERROR($J152&lt;=0,TRUE)),"",147)</f>
        <v/>
      </c>
      <c r="B153" s="19">
        <f>IF($A153="","",IFERROR(EDATE($B$4,$A153-1),""))</f>
        <v/>
      </c>
      <c r="C153" s="9">
        <f>IF($A153="","",$J152)</f>
        <v/>
      </c>
      <c r="D153" s="9">
        <f>IF($A153="","",IFERROR(MIN($H$3,$C153+$I153),""))</f>
        <v/>
      </c>
      <c r="E153" s="9">
        <f>IF($A153="","",IF($D$4="",0,$D$4))</f>
        <v/>
      </c>
      <c r="F153" s="16" t="n"/>
      <c r="G153" s="9">
        <f>IF($A153="","",IFERROR(MIN($C153+$I153,$D153+$E153+IF($F153="",0,$F153)),""))</f>
        <v/>
      </c>
      <c r="H153" s="9">
        <f>IF($A153="","",IFERROR(MAX(0,$G153-$I153),""))</f>
        <v/>
      </c>
      <c r="I153" s="9">
        <f>IF($A153="","",IFERROR($C153*$D$3/12,""))</f>
        <v/>
      </c>
      <c r="J153" s="9">
        <f>IF($A153="","",IFERROR(MAX(0,$C153-$H153),""))</f>
        <v/>
      </c>
      <c r="K153" s="14" t="n"/>
    </row>
    <row r="154">
      <c r="A154" s="29">
        <f>IF(OR($B$3="",$D$3="",$F$3="",$H$3="",$B$4="",148&gt;$F$3,$J153="",IFERROR($J153&lt;=0,TRUE)),"",148)</f>
        <v/>
      </c>
      <c r="B154" s="21">
        <f>IF($A154="","",IFERROR(EDATE($B$4,$A154-1),""))</f>
        <v/>
      </c>
      <c r="C154" s="10">
        <f>IF($A154="","",$J153)</f>
        <v/>
      </c>
      <c r="D154" s="10">
        <f>IF($A154="","",IFERROR(MIN($H$3,$C154+$I154),""))</f>
        <v/>
      </c>
      <c r="E154" s="10">
        <f>IF($A154="","",IF($D$4="",0,$D$4))</f>
        <v/>
      </c>
      <c r="F154" s="16" t="n"/>
      <c r="G154" s="10">
        <f>IF($A154="","",IFERROR(MIN($C154+$I154,$D154+$E154+IF($F154="",0,$F154)),""))</f>
        <v/>
      </c>
      <c r="H154" s="10">
        <f>IF($A154="","",IFERROR(MAX(0,$G154-$I154),""))</f>
        <v/>
      </c>
      <c r="I154" s="10">
        <f>IF($A154="","",IFERROR($C154*$D$3/12,""))</f>
        <v/>
      </c>
      <c r="J154" s="10">
        <f>IF($A154="","",IFERROR(MAX(0,$C154-$H154),""))</f>
        <v/>
      </c>
      <c r="K154" s="14" t="n"/>
    </row>
    <row r="155">
      <c r="A155" s="28">
        <f>IF(OR($B$3="",$D$3="",$F$3="",$H$3="",$B$4="",149&gt;$F$3,$J154="",IFERROR($J154&lt;=0,TRUE)),"",149)</f>
        <v/>
      </c>
      <c r="B155" s="19">
        <f>IF($A155="","",IFERROR(EDATE($B$4,$A155-1),""))</f>
        <v/>
      </c>
      <c r="C155" s="9">
        <f>IF($A155="","",$J154)</f>
        <v/>
      </c>
      <c r="D155" s="9">
        <f>IF($A155="","",IFERROR(MIN($H$3,$C155+$I155),""))</f>
        <v/>
      </c>
      <c r="E155" s="9">
        <f>IF($A155="","",IF($D$4="",0,$D$4))</f>
        <v/>
      </c>
      <c r="F155" s="16" t="n"/>
      <c r="G155" s="9">
        <f>IF($A155="","",IFERROR(MIN($C155+$I155,$D155+$E155+IF($F155="",0,$F155)),""))</f>
        <v/>
      </c>
      <c r="H155" s="9">
        <f>IF($A155="","",IFERROR(MAX(0,$G155-$I155),""))</f>
        <v/>
      </c>
      <c r="I155" s="9">
        <f>IF($A155="","",IFERROR($C155*$D$3/12,""))</f>
        <v/>
      </c>
      <c r="J155" s="9">
        <f>IF($A155="","",IFERROR(MAX(0,$C155-$H155),""))</f>
        <v/>
      </c>
      <c r="K155" s="14" t="n"/>
    </row>
    <row r="156">
      <c r="A156" s="29">
        <f>IF(OR($B$3="",$D$3="",$F$3="",$H$3="",$B$4="",150&gt;$F$3,$J155="",IFERROR($J155&lt;=0,TRUE)),"",150)</f>
        <v/>
      </c>
      <c r="B156" s="21">
        <f>IF($A156="","",IFERROR(EDATE($B$4,$A156-1),""))</f>
        <v/>
      </c>
      <c r="C156" s="10">
        <f>IF($A156="","",$J155)</f>
        <v/>
      </c>
      <c r="D156" s="10">
        <f>IF($A156="","",IFERROR(MIN($H$3,$C156+$I156),""))</f>
        <v/>
      </c>
      <c r="E156" s="10">
        <f>IF($A156="","",IF($D$4="",0,$D$4))</f>
        <v/>
      </c>
      <c r="F156" s="16" t="n"/>
      <c r="G156" s="10">
        <f>IF($A156="","",IFERROR(MIN($C156+$I156,$D156+$E156+IF($F156="",0,$F156)),""))</f>
        <v/>
      </c>
      <c r="H156" s="10">
        <f>IF($A156="","",IFERROR(MAX(0,$G156-$I156),""))</f>
        <v/>
      </c>
      <c r="I156" s="10">
        <f>IF($A156="","",IFERROR($C156*$D$3/12,""))</f>
        <v/>
      </c>
      <c r="J156" s="10">
        <f>IF($A156="","",IFERROR(MAX(0,$C156-$H156),""))</f>
        <v/>
      </c>
      <c r="K156" s="14" t="n"/>
    </row>
    <row r="157">
      <c r="A157" s="28">
        <f>IF(OR($B$3="",$D$3="",$F$3="",$H$3="",$B$4="",151&gt;$F$3,$J156="",IFERROR($J156&lt;=0,TRUE)),"",151)</f>
        <v/>
      </c>
      <c r="B157" s="19">
        <f>IF($A157="","",IFERROR(EDATE($B$4,$A157-1),""))</f>
        <v/>
      </c>
      <c r="C157" s="9">
        <f>IF($A157="","",$J156)</f>
        <v/>
      </c>
      <c r="D157" s="9">
        <f>IF($A157="","",IFERROR(MIN($H$3,$C157+$I157),""))</f>
        <v/>
      </c>
      <c r="E157" s="9">
        <f>IF($A157="","",IF($D$4="",0,$D$4))</f>
        <v/>
      </c>
      <c r="F157" s="16" t="n"/>
      <c r="G157" s="9">
        <f>IF($A157="","",IFERROR(MIN($C157+$I157,$D157+$E157+IF($F157="",0,$F157)),""))</f>
        <v/>
      </c>
      <c r="H157" s="9">
        <f>IF($A157="","",IFERROR(MAX(0,$G157-$I157),""))</f>
        <v/>
      </c>
      <c r="I157" s="9">
        <f>IF($A157="","",IFERROR($C157*$D$3/12,""))</f>
        <v/>
      </c>
      <c r="J157" s="9">
        <f>IF($A157="","",IFERROR(MAX(0,$C157-$H157),""))</f>
        <v/>
      </c>
      <c r="K157" s="14" t="n"/>
    </row>
    <row r="158">
      <c r="A158" s="29">
        <f>IF(OR($B$3="",$D$3="",$F$3="",$H$3="",$B$4="",152&gt;$F$3,$J157="",IFERROR($J157&lt;=0,TRUE)),"",152)</f>
        <v/>
      </c>
      <c r="B158" s="21">
        <f>IF($A158="","",IFERROR(EDATE($B$4,$A158-1),""))</f>
        <v/>
      </c>
      <c r="C158" s="10">
        <f>IF($A158="","",$J157)</f>
        <v/>
      </c>
      <c r="D158" s="10">
        <f>IF($A158="","",IFERROR(MIN($H$3,$C158+$I158),""))</f>
        <v/>
      </c>
      <c r="E158" s="10">
        <f>IF($A158="","",IF($D$4="",0,$D$4))</f>
        <v/>
      </c>
      <c r="F158" s="16" t="n"/>
      <c r="G158" s="10">
        <f>IF($A158="","",IFERROR(MIN($C158+$I158,$D158+$E158+IF($F158="",0,$F158)),""))</f>
        <v/>
      </c>
      <c r="H158" s="10">
        <f>IF($A158="","",IFERROR(MAX(0,$G158-$I158),""))</f>
        <v/>
      </c>
      <c r="I158" s="10">
        <f>IF($A158="","",IFERROR($C158*$D$3/12,""))</f>
        <v/>
      </c>
      <c r="J158" s="10">
        <f>IF($A158="","",IFERROR(MAX(0,$C158-$H158),""))</f>
        <v/>
      </c>
      <c r="K158" s="14" t="n"/>
    </row>
    <row r="159">
      <c r="A159" s="28">
        <f>IF(OR($B$3="",$D$3="",$F$3="",$H$3="",$B$4="",153&gt;$F$3,$J158="",IFERROR($J158&lt;=0,TRUE)),"",153)</f>
        <v/>
      </c>
      <c r="B159" s="19">
        <f>IF($A159="","",IFERROR(EDATE($B$4,$A159-1),""))</f>
        <v/>
      </c>
      <c r="C159" s="9">
        <f>IF($A159="","",$J158)</f>
        <v/>
      </c>
      <c r="D159" s="9">
        <f>IF($A159="","",IFERROR(MIN($H$3,$C159+$I159),""))</f>
        <v/>
      </c>
      <c r="E159" s="9">
        <f>IF($A159="","",IF($D$4="",0,$D$4))</f>
        <v/>
      </c>
      <c r="F159" s="16" t="n"/>
      <c r="G159" s="9">
        <f>IF($A159="","",IFERROR(MIN($C159+$I159,$D159+$E159+IF($F159="",0,$F159)),""))</f>
        <v/>
      </c>
      <c r="H159" s="9">
        <f>IF($A159="","",IFERROR(MAX(0,$G159-$I159),""))</f>
        <v/>
      </c>
      <c r="I159" s="9">
        <f>IF($A159="","",IFERROR($C159*$D$3/12,""))</f>
        <v/>
      </c>
      <c r="J159" s="9">
        <f>IF($A159="","",IFERROR(MAX(0,$C159-$H159),""))</f>
        <v/>
      </c>
      <c r="K159" s="14" t="n"/>
    </row>
    <row r="160">
      <c r="A160" s="29">
        <f>IF(OR($B$3="",$D$3="",$F$3="",$H$3="",$B$4="",154&gt;$F$3,$J159="",IFERROR($J159&lt;=0,TRUE)),"",154)</f>
        <v/>
      </c>
      <c r="B160" s="21">
        <f>IF($A160="","",IFERROR(EDATE($B$4,$A160-1),""))</f>
        <v/>
      </c>
      <c r="C160" s="10">
        <f>IF($A160="","",$J159)</f>
        <v/>
      </c>
      <c r="D160" s="10">
        <f>IF($A160="","",IFERROR(MIN($H$3,$C160+$I160),""))</f>
        <v/>
      </c>
      <c r="E160" s="10">
        <f>IF($A160="","",IF($D$4="",0,$D$4))</f>
        <v/>
      </c>
      <c r="F160" s="16" t="n"/>
      <c r="G160" s="10">
        <f>IF($A160="","",IFERROR(MIN($C160+$I160,$D160+$E160+IF($F160="",0,$F160)),""))</f>
        <v/>
      </c>
      <c r="H160" s="10">
        <f>IF($A160="","",IFERROR(MAX(0,$G160-$I160),""))</f>
        <v/>
      </c>
      <c r="I160" s="10">
        <f>IF($A160="","",IFERROR($C160*$D$3/12,""))</f>
        <v/>
      </c>
      <c r="J160" s="10">
        <f>IF($A160="","",IFERROR(MAX(0,$C160-$H160),""))</f>
        <v/>
      </c>
      <c r="K160" s="14" t="n"/>
    </row>
    <row r="161">
      <c r="A161" s="28">
        <f>IF(OR($B$3="",$D$3="",$F$3="",$H$3="",$B$4="",155&gt;$F$3,$J160="",IFERROR($J160&lt;=0,TRUE)),"",155)</f>
        <v/>
      </c>
      <c r="B161" s="19">
        <f>IF($A161="","",IFERROR(EDATE($B$4,$A161-1),""))</f>
        <v/>
      </c>
      <c r="C161" s="9">
        <f>IF($A161="","",$J160)</f>
        <v/>
      </c>
      <c r="D161" s="9">
        <f>IF($A161="","",IFERROR(MIN($H$3,$C161+$I161),""))</f>
        <v/>
      </c>
      <c r="E161" s="9">
        <f>IF($A161="","",IF($D$4="",0,$D$4))</f>
        <v/>
      </c>
      <c r="F161" s="16" t="n"/>
      <c r="G161" s="9">
        <f>IF($A161="","",IFERROR(MIN($C161+$I161,$D161+$E161+IF($F161="",0,$F161)),""))</f>
        <v/>
      </c>
      <c r="H161" s="9">
        <f>IF($A161="","",IFERROR(MAX(0,$G161-$I161),""))</f>
        <v/>
      </c>
      <c r="I161" s="9">
        <f>IF($A161="","",IFERROR($C161*$D$3/12,""))</f>
        <v/>
      </c>
      <c r="J161" s="9">
        <f>IF($A161="","",IFERROR(MAX(0,$C161-$H161),""))</f>
        <v/>
      </c>
      <c r="K161" s="14" t="n"/>
    </row>
    <row r="162">
      <c r="A162" s="29">
        <f>IF(OR($B$3="",$D$3="",$F$3="",$H$3="",$B$4="",156&gt;$F$3,$J161="",IFERROR($J161&lt;=0,TRUE)),"",156)</f>
        <v/>
      </c>
      <c r="B162" s="21">
        <f>IF($A162="","",IFERROR(EDATE($B$4,$A162-1),""))</f>
        <v/>
      </c>
      <c r="C162" s="10">
        <f>IF($A162="","",$J161)</f>
        <v/>
      </c>
      <c r="D162" s="10">
        <f>IF($A162="","",IFERROR(MIN($H$3,$C162+$I162),""))</f>
        <v/>
      </c>
      <c r="E162" s="10">
        <f>IF($A162="","",IF($D$4="",0,$D$4))</f>
        <v/>
      </c>
      <c r="F162" s="16" t="n"/>
      <c r="G162" s="10">
        <f>IF($A162="","",IFERROR(MIN($C162+$I162,$D162+$E162+IF($F162="",0,$F162)),""))</f>
        <v/>
      </c>
      <c r="H162" s="10">
        <f>IF($A162="","",IFERROR(MAX(0,$G162-$I162),""))</f>
        <v/>
      </c>
      <c r="I162" s="10">
        <f>IF($A162="","",IFERROR($C162*$D$3/12,""))</f>
        <v/>
      </c>
      <c r="J162" s="10">
        <f>IF($A162="","",IFERROR(MAX(0,$C162-$H162),""))</f>
        <v/>
      </c>
      <c r="K162" s="14" t="n"/>
    </row>
    <row r="163">
      <c r="A163" s="28">
        <f>IF(OR($B$3="",$D$3="",$F$3="",$H$3="",$B$4="",157&gt;$F$3,$J162="",IFERROR($J162&lt;=0,TRUE)),"",157)</f>
        <v/>
      </c>
      <c r="B163" s="19">
        <f>IF($A163="","",IFERROR(EDATE($B$4,$A163-1),""))</f>
        <v/>
      </c>
      <c r="C163" s="9">
        <f>IF($A163="","",$J162)</f>
        <v/>
      </c>
      <c r="D163" s="9">
        <f>IF($A163="","",IFERROR(MIN($H$3,$C163+$I163),""))</f>
        <v/>
      </c>
      <c r="E163" s="9">
        <f>IF($A163="","",IF($D$4="",0,$D$4))</f>
        <v/>
      </c>
      <c r="F163" s="16" t="n"/>
      <c r="G163" s="9">
        <f>IF($A163="","",IFERROR(MIN($C163+$I163,$D163+$E163+IF($F163="",0,$F163)),""))</f>
        <v/>
      </c>
      <c r="H163" s="9">
        <f>IF($A163="","",IFERROR(MAX(0,$G163-$I163),""))</f>
        <v/>
      </c>
      <c r="I163" s="9">
        <f>IF($A163="","",IFERROR($C163*$D$3/12,""))</f>
        <v/>
      </c>
      <c r="J163" s="9">
        <f>IF($A163="","",IFERROR(MAX(0,$C163-$H163),""))</f>
        <v/>
      </c>
      <c r="K163" s="14" t="n"/>
    </row>
    <row r="164">
      <c r="A164" s="29">
        <f>IF(OR($B$3="",$D$3="",$F$3="",$H$3="",$B$4="",158&gt;$F$3,$J163="",IFERROR($J163&lt;=0,TRUE)),"",158)</f>
        <v/>
      </c>
      <c r="B164" s="21">
        <f>IF($A164="","",IFERROR(EDATE($B$4,$A164-1),""))</f>
        <v/>
      </c>
      <c r="C164" s="10">
        <f>IF($A164="","",$J163)</f>
        <v/>
      </c>
      <c r="D164" s="10">
        <f>IF($A164="","",IFERROR(MIN($H$3,$C164+$I164),""))</f>
        <v/>
      </c>
      <c r="E164" s="10">
        <f>IF($A164="","",IF($D$4="",0,$D$4))</f>
        <v/>
      </c>
      <c r="F164" s="16" t="n"/>
      <c r="G164" s="10">
        <f>IF($A164="","",IFERROR(MIN($C164+$I164,$D164+$E164+IF($F164="",0,$F164)),""))</f>
        <v/>
      </c>
      <c r="H164" s="10">
        <f>IF($A164="","",IFERROR(MAX(0,$G164-$I164),""))</f>
        <v/>
      </c>
      <c r="I164" s="10">
        <f>IF($A164="","",IFERROR($C164*$D$3/12,""))</f>
        <v/>
      </c>
      <c r="J164" s="10">
        <f>IF($A164="","",IFERROR(MAX(0,$C164-$H164),""))</f>
        <v/>
      </c>
      <c r="K164" s="14" t="n"/>
    </row>
    <row r="165">
      <c r="A165" s="28">
        <f>IF(OR($B$3="",$D$3="",$F$3="",$H$3="",$B$4="",159&gt;$F$3,$J164="",IFERROR($J164&lt;=0,TRUE)),"",159)</f>
        <v/>
      </c>
      <c r="B165" s="19">
        <f>IF($A165="","",IFERROR(EDATE($B$4,$A165-1),""))</f>
        <v/>
      </c>
      <c r="C165" s="9">
        <f>IF($A165="","",$J164)</f>
        <v/>
      </c>
      <c r="D165" s="9">
        <f>IF($A165="","",IFERROR(MIN($H$3,$C165+$I165),""))</f>
        <v/>
      </c>
      <c r="E165" s="9">
        <f>IF($A165="","",IF($D$4="",0,$D$4))</f>
        <v/>
      </c>
      <c r="F165" s="16" t="n"/>
      <c r="G165" s="9">
        <f>IF($A165="","",IFERROR(MIN($C165+$I165,$D165+$E165+IF($F165="",0,$F165)),""))</f>
        <v/>
      </c>
      <c r="H165" s="9">
        <f>IF($A165="","",IFERROR(MAX(0,$G165-$I165),""))</f>
        <v/>
      </c>
      <c r="I165" s="9">
        <f>IF($A165="","",IFERROR($C165*$D$3/12,""))</f>
        <v/>
      </c>
      <c r="J165" s="9">
        <f>IF($A165="","",IFERROR(MAX(0,$C165-$H165),""))</f>
        <v/>
      </c>
      <c r="K165" s="14" t="n"/>
    </row>
    <row r="166">
      <c r="A166" s="29">
        <f>IF(OR($B$3="",$D$3="",$F$3="",$H$3="",$B$4="",160&gt;$F$3,$J165="",IFERROR($J165&lt;=0,TRUE)),"",160)</f>
        <v/>
      </c>
      <c r="B166" s="21">
        <f>IF($A166="","",IFERROR(EDATE($B$4,$A166-1),""))</f>
        <v/>
      </c>
      <c r="C166" s="10">
        <f>IF($A166="","",$J165)</f>
        <v/>
      </c>
      <c r="D166" s="10">
        <f>IF($A166="","",IFERROR(MIN($H$3,$C166+$I166),""))</f>
        <v/>
      </c>
      <c r="E166" s="10">
        <f>IF($A166="","",IF($D$4="",0,$D$4))</f>
        <v/>
      </c>
      <c r="F166" s="16" t="n"/>
      <c r="G166" s="10">
        <f>IF($A166="","",IFERROR(MIN($C166+$I166,$D166+$E166+IF($F166="",0,$F166)),""))</f>
        <v/>
      </c>
      <c r="H166" s="10">
        <f>IF($A166="","",IFERROR(MAX(0,$G166-$I166),""))</f>
        <v/>
      </c>
      <c r="I166" s="10">
        <f>IF($A166="","",IFERROR($C166*$D$3/12,""))</f>
        <v/>
      </c>
      <c r="J166" s="10">
        <f>IF($A166="","",IFERROR(MAX(0,$C166-$H166),""))</f>
        <v/>
      </c>
      <c r="K166" s="14" t="n"/>
    </row>
    <row r="167">
      <c r="A167" s="28">
        <f>IF(OR($B$3="",$D$3="",$F$3="",$H$3="",$B$4="",161&gt;$F$3,$J166="",IFERROR($J166&lt;=0,TRUE)),"",161)</f>
        <v/>
      </c>
      <c r="B167" s="19">
        <f>IF($A167="","",IFERROR(EDATE($B$4,$A167-1),""))</f>
        <v/>
      </c>
      <c r="C167" s="9">
        <f>IF($A167="","",$J166)</f>
        <v/>
      </c>
      <c r="D167" s="9">
        <f>IF($A167="","",IFERROR(MIN($H$3,$C167+$I167),""))</f>
        <v/>
      </c>
      <c r="E167" s="9">
        <f>IF($A167="","",IF($D$4="",0,$D$4))</f>
        <v/>
      </c>
      <c r="F167" s="16" t="n"/>
      <c r="G167" s="9">
        <f>IF($A167="","",IFERROR(MIN($C167+$I167,$D167+$E167+IF($F167="",0,$F167)),""))</f>
        <v/>
      </c>
      <c r="H167" s="9">
        <f>IF($A167="","",IFERROR(MAX(0,$G167-$I167),""))</f>
        <v/>
      </c>
      <c r="I167" s="9">
        <f>IF($A167="","",IFERROR($C167*$D$3/12,""))</f>
        <v/>
      </c>
      <c r="J167" s="9">
        <f>IF($A167="","",IFERROR(MAX(0,$C167-$H167),""))</f>
        <v/>
      </c>
      <c r="K167" s="14" t="n"/>
    </row>
    <row r="168">
      <c r="A168" s="29">
        <f>IF(OR($B$3="",$D$3="",$F$3="",$H$3="",$B$4="",162&gt;$F$3,$J167="",IFERROR($J167&lt;=0,TRUE)),"",162)</f>
        <v/>
      </c>
      <c r="B168" s="21">
        <f>IF($A168="","",IFERROR(EDATE($B$4,$A168-1),""))</f>
        <v/>
      </c>
      <c r="C168" s="10">
        <f>IF($A168="","",$J167)</f>
        <v/>
      </c>
      <c r="D168" s="10">
        <f>IF($A168="","",IFERROR(MIN($H$3,$C168+$I168),""))</f>
        <v/>
      </c>
      <c r="E168" s="10">
        <f>IF($A168="","",IF($D$4="",0,$D$4))</f>
        <v/>
      </c>
      <c r="F168" s="16" t="n"/>
      <c r="G168" s="10">
        <f>IF($A168="","",IFERROR(MIN($C168+$I168,$D168+$E168+IF($F168="",0,$F168)),""))</f>
        <v/>
      </c>
      <c r="H168" s="10">
        <f>IF($A168="","",IFERROR(MAX(0,$G168-$I168),""))</f>
        <v/>
      </c>
      <c r="I168" s="10">
        <f>IF($A168="","",IFERROR($C168*$D$3/12,""))</f>
        <v/>
      </c>
      <c r="J168" s="10">
        <f>IF($A168="","",IFERROR(MAX(0,$C168-$H168),""))</f>
        <v/>
      </c>
      <c r="K168" s="14" t="n"/>
    </row>
    <row r="169">
      <c r="A169" s="28">
        <f>IF(OR($B$3="",$D$3="",$F$3="",$H$3="",$B$4="",163&gt;$F$3,$J168="",IFERROR($J168&lt;=0,TRUE)),"",163)</f>
        <v/>
      </c>
      <c r="B169" s="19">
        <f>IF($A169="","",IFERROR(EDATE($B$4,$A169-1),""))</f>
        <v/>
      </c>
      <c r="C169" s="9">
        <f>IF($A169="","",$J168)</f>
        <v/>
      </c>
      <c r="D169" s="9">
        <f>IF($A169="","",IFERROR(MIN($H$3,$C169+$I169),""))</f>
        <v/>
      </c>
      <c r="E169" s="9">
        <f>IF($A169="","",IF($D$4="",0,$D$4))</f>
        <v/>
      </c>
      <c r="F169" s="16" t="n"/>
      <c r="G169" s="9">
        <f>IF($A169="","",IFERROR(MIN($C169+$I169,$D169+$E169+IF($F169="",0,$F169)),""))</f>
        <v/>
      </c>
      <c r="H169" s="9">
        <f>IF($A169="","",IFERROR(MAX(0,$G169-$I169),""))</f>
        <v/>
      </c>
      <c r="I169" s="9">
        <f>IF($A169="","",IFERROR($C169*$D$3/12,""))</f>
        <v/>
      </c>
      <c r="J169" s="9">
        <f>IF($A169="","",IFERROR(MAX(0,$C169-$H169),""))</f>
        <v/>
      </c>
      <c r="K169" s="14" t="n"/>
    </row>
    <row r="170">
      <c r="A170" s="29">
        <f>IF(OR($B$3="",$D$3="",$F$3="",$H$3="",$B$4="",164&gt;$F$3,$J169="",IFERROR($J169&lt;=0,TRUE)),"",164)</f>
        <v/>
      </c>
      <c r="B170" s="21">
        <f>IF($A170="","",IFERROR(EDATE($B$4,$A170-1),""))</f>
        <v/>
      </c>
      <c r="C170" s="10">
        <f>IF($A170="","",$J169)</f>
        <v/>
      </c>
      <c r="D170" s="10">
        <f>IF($A170="","",IFERROR(MIN($H$3,$C170+$I170),""))</f>
        <v/>
      </c>
      <c r="E170" s="10">
        <f>IF($A170="","",IF($D$4="",0,$D$4))</f>
        <v/>
      </c>
      <c r="F170" s="16" t="n"/>
      <c r="G170" s="10">
        <f>IF($A170="","",IFERROR(MIN($C170+$I170,$D170+$E170+IF($F170="",0,$F170)),""))</f>
        <v/>
      </c>
      <c r="H170" s="10">
        <f>IF($A170="","",IFERROR(MAX(0,$G170-$I170),""))</f>
        <v/>
      </c>
      <c r="I170" s="10">
        <f>IF($A170="","",IFERROR($C170*$D$3/12,""))</f>
        <v/>
      </c>
      <c r="J170" s="10">
        <f>IF($A170="","",IFERROR(MAX(0,$C170-$H170),""))</f>
        <v/>
      </c>
      <c r="K170" s="14" t="n"/>
    </row>
    <row r="171">
      <c r="A171" s="28">
        <f>IF(OR($B$3="",$D$3="",$F$3="",$H$3="",$B$4="",165&gt;$F$3,$J170="",IFERROR($J170&lt;=0,TRUE)),"",165)</f>
        <v/>
      </c>
      <c r="B171" s="19">
        <f>IF($A171="","",IFERROR(EDATE($B$4,$A171-1),""))</f>
        <v/>
      </c>
      <c r="C171" s="9">
        <f>IF($A171="","",$J170)</f>
        <v/>
      </c>
      <c r="D171" s="9">
        <f>IF($A171="","",IFERROR(MIN($H$3,$C171+$I171),""))</f>
        <v/>
      </c>
      <c r="E171" s="9">
        <f>IF($A171="","",IF($D$4="",0,$D$4))</f>
        <v/>
      </c>
      <c r="F171" s="16" t="n"/>
      <c r="G171" s="9">
        <f>IF($A171="","",IFERROR(MIN($C171+$I171,$D171+$E171+IF($F171="",0,$F171)),""))</f>
        <v/>
      </c>
      <c r="H171" s="9">
        <f>IF($A171="","",IFERROR(MAX(0,$G171-$I171),""))</f>
        <v/>
      </c>
      <c r="I171" s="9">
        <f>IF($A171="","",IFERROR($C171*$D$3/12,""))</f>
        <v/>
      </c>
      <c r="J171" s="9">
        <f>IF($A171="","",IFERROR(MAX(0,$C171-$H171),""))</f>
        <v/>
      </c>
      <c r="K171" s="14" t="n"/>
    </row>
    <row r="172">
      <c r="A172" s="29">
        <f>IF(OR($B$3="",$D$3="",$F$3="",$H$3="",$B$4="",166&gt;$F$3,$J171="",IFERROR($J171&lt;=0,TRUE)),"",166)</f>
        <v/>
      </c>
      <c r="B172" s="21">
        <f>IF($A172="","",IFERROR(EDATE($B$4,$A172-1),""))</f>
        <v/>
      </c>
      <c r="C172" s="10">
        <f>IF($A172="","",$J171)</f>
        <v/>
      </c>
      <c r="D172" s="10">
        <f>IF($A172="","",IFERROR(MIN($H$3,$C172+$I172),""))</f>
        <v/>
      </c>
      <c r="E172" s="10">
        <f>IF($A172="","",IF($D$4="",0,$D$4))</f>
        <v/>
      </c>
      <c r="F172" s="16" t="n"/>
      <c r="G172" s="10">
        <f>IF($A172="","",IFERROR(MIN($C172+$I172,$D172+$E172+IF($F172="",0,$F172)),""))</f>
        <v/>
      </c>
      <c r="H172" s="10">
        <f>IF($A172="","",IFERROR(MAX(0,$G172-$I172),""))</f>
        <v/>
      </c>
      <c r="I172" s="10">
        <f>IF($A172="","",IFERROR($C172*$D$3/12,""))</f>
        <v/>
      </c>
      <c r="J172" s="10">
        <f>IF($A172="","",IFERROR(MAX(0,$C172-$H172),""))</f>
        <v/>
      </c>
      <c r="K172" s="14" t="n"/>
    </row>
    <row r="173">
      <c r="A173" s="28">
        <f>IF(OR($B$3="",$D$3="",$F$3="",$H$3="",$B$4="",167&gt;$F$3,$J172="",IFERROR($J172&lt;=0,TRUE)),"",167)</f>
        <v/>
      </c>
      <c r="B173" s="19">
        <f>IF($A173="","",IFERROR(EDATE($B$4,$A173-1),""))</f>
        <v/>
      </c>
      <c r="C173" s="9">
        <f>IF($A173="","",$J172)</f>
        <v/>
      </c>
      <c r="D173" s="9">
        <f>IF($A173="","",IFERROR(MIN($H$3,$C173+$I173),""))</f>
        <v/>
      </c>
      <c r="E173" s="9">
        <f>IF($A173="","",IF($D$4="",0,$D$4))</f>
        <v/>
      </c>
      <c r="F173" s="16" t="n"/>
      <c r="G173" s="9">
        <f>IF($A173="","",IFERROR(MIN($C173+$I173,$D173+$E173+IF($F173="",0,$F173)),""))</f>
        <v/>
      </c>
      <c r="H173" s="9">
        <f>IF($A173="","",IFERROR(MAX(0,$G173-$I173),""))</f>
        <v/>
      </c>
      <c r="I173" s="9">
        <f>IF($A173="","",IFERROR($C173*$D$3/12,""))</f>
        <v/>
      </c>
      <c r="J173" s="9">
        <f>IF($A173="","",IFERROR(MAX(0,$C173-$H173),""))</f>
        <v/>
      </c>
      <c r="K173" s="14" t="n"/>
    </row>
    <row r="174">
      <c r="A174" s="29">
        <f>IF(OR($B$3="",$D$3="",$F$3="",$H$3="",$B$4="",168&gt;$F$3,$J173="",IFERROR($J173&lt;=0,TRUE)),"",168)</f>
        <v/>
      </c>
      <c r="B174" s="21">
        <f>IF($A174="","",IFERROR(EDATE($B$4,$A174-1),""))</f>
        <v/>
      </c>
      <c r="C174" s="10">
        <f>IF($A174="","",$J173)</f>
        <v/>
      </c>
      <c r="D174" s="10">
        <f>IF($A174="","",IFERROR(MIN($H$3,$C174+$I174),""))</f>
        <v/>
      </c>
      <c r="E174" s="10">
        <f>IF($A174="","",IF($D$4="",0,$D$4))</f>
        <v/>
      </c>
      <c r="F174" s="16" t="n"/>
      <c r="G174" s="10">
        <f>IF($A174="","",IFERROR(MIN($C174+$I174,$D174+$E174+IF($F174="",0,$F174)),""))</f>
        <v/>
      </c>
      <c r="H174" s="10">
        <f>IF($A174="","",IFERROR(MAX(0,$G174-$I174),""))</f>
        <v/>
      </c>
      <c r="I174" s="10">
        <f>IF($A174="","",IFERROR($C174*$D$3/12,""))</f>
        <v/>
      </c>
      <c r="J174" s="10">
        <f>IF($A174="","",IFERROR(MAX(0,$C174-$H174),""))</f>
        <v/>
      </c>
      <c r="K174" s="14" t="n"/>
    </row>
    <row r="175">
      <c r="A175" s="28">
        <f>IF(OR($B$3="",$D$3="",$F$3="",$H$3="",$B$4="",169&gt;$F$3,$J174="",IFERROR($J174&lt;=0,TRUE)),"",169)</f>
        <v/>
      </c>
      <c r="B175" s="19">
        <f>IF($A175="","",IFERROR(EDATE($B$4,$A175-1),""))</f>
        <v/>
      </c>
      <c r="C175" s="9">
        <f>IF($A175="","",$J174)</f>
        <v/>
      </c>
      <c r="D175" s="9">
        <f>IF($A175="","",IFERROR(MIN($H$3,$C175+$I175),""))</f>
        <v/>
      </c>
      <c r="E175" s="9">
        <f>IF($A175="","",IF($D$4="",0,$D$4))</f>
        <v/>
      </c>
      <c r="F175" s="16" t="n"/>
      <c r="G175" s="9">
        <f>IF($A175="","",IFERROR(MIN($C175+$I175,$D175+$E175+IF($F175="",0,$F175)),""))</f>
        <v/>
      </c>
      <c r="H175" s="9">
        <f>IF($A175="","",IFERROR(MAX(0,$G175-$I175),""))</f>
        <v/>
      </c>
      <c r="I175" s="9">
        <f>IF($A175="","",IFERROR($C175*$D$3/12,""))</f>
        <v/>
      </c>
      <c r="J175" s="9">
        <f>IF($A175="","",IFERROR(MAX(0,$C175-$H175),""))</f>
        <v/>
      </c>
      <c r="K175" s="14" t="n"/>
    </row>
    <row r="176">
      <c r="A176" s="29">
        <f>IF(OR($B$3="",$D$3="",$F$3="",$H$3="",$B$4="",170&gt;$F$3,$J175="",IFERROR($J175&lt;=0,TRUE)),"",170)</f>
        <v/>
      </c>
      <c r="B176" s="21">
        <f>IF($A176="","",IFERROR(EDATE($B$4,$A176-1),""))</f>
        <v/>
      </c>
      <c r="C176" s="10">
        <f>IF($A176="","",$J175)</f>
        <v/>
      </c>
      <c r="D176" s="10">
        <f>IF($A176="","",IFERROR(MIN($H$3,$C176+$I176),""))</f>
        <v/>
      </c>
      <c r="E176" s="10">
        <f>IF($A176="","",IF($D$4="",0,$D$4))</f>
        <v/>
      </c>
      <c r="F176" s="16" t="n"/>
      <c r="G176" s="10">
        <f>IF($A176="","",IFERROR(MIN($C176+$I176,$D176+$E176+IF($F176="",0,$F176)),""))</f>
        <v/>
      </c>
      <c r="H176" s="10">
        <f>IF($A176="","",IFERROR(MAX(0,$G176-$I176),""))</f>
        <v/>
      </c>
      <c r="I176" s="10">
        <f>IF($A176="","",IFERROR($C176*$D$3/12,""))</f>
        <v/>
      </c>
      <c r="J176" s="10">
        <f>IF($A176="","",IFERROR(MAX(0,$C176-$H176),""))</f>
        <v/>
      </c>
      <c r="K176" s="14" t="n"/>
    </row>
    <row r="177">
      <c r="A177" s="28">
        <f>IF(OR($B$3="",$D$3="",$F$3="",$H$3="",$B$4="",171&gt;$F$3,$J176="",IFERROR($J176&lt;=0,TRUE)),"",171)</f>
        <v/>
      </c>
      <c r="B177" s="19">
        <f>IF($A177="","",IFERROR(EDATE($B$4,$A177-1),""))</f>
        <v/>
      </c>
      <c r="C177" s="9">
        <f>IF($A177="","",$J176)</f>
        <v/>
      </c>
      <c r="D177" s="9">
        <f>IF($A177="","",IFERROR(MIN($H$3,$C177+$I177),""))</f>
        <v/>
      </c>
      <c r="E177" s="9">
        <f>IF($A177="","",IF($D$4="",0,$D$4))</f>
        <v/>
      </c>
      <c r="F177" s="16" t="n"/>
      <c r="G177" s="9">
        <f>IF($A177="","",IFERROR(MIN($C177+$I177,$D177+$E177+IF($F177="",0,$F177)),""))</f>
        <v/>
      </c>
      <c r="H177" s="9">
        <f>IF($A177="","",IFERROR(MAX(0,$G177-$I177),""))</f>
        <v/>
      </c>
      <c r="I177" s="9">
        <f>IF($A177="","",IFERROR($C177*$D$3/12,""))</f>
        <v/>
      </c>
      <c r="J177" s="9">
        <f>IF($A177="","",IFERROR(MAX(0,$C177-$H177),""))</f>
        <v/>
      </c>
      <c r="K177" s="14" t="n"/>
    </row>
    <row r="178">
      <c r="A178" s="29">
        <f>IF(OR($B$3="",$D$3="",$F$3="",$H$3="",$B$4="",172&gt;$F$3,$J177="",IFERROR($J177&lt;=0,TRUE)),"",172)</f>
        <v/>
      </c>
      <c r="B178" s="21">
        <f>IF($A178="","",IFERROR(EDATE($B$4,$A178-1),""))</f>
        <v/>
      </c>
      <c r="C178" s="10">
        <f>IF($A178="","",$J177)</f>
        <v/>
      </c>
      <c r="D178" s="10">
        <f>IF($A178="","",IFERROR(MIN($H$3,$C178+$I178),""))</f>
        <v/>
      </c>
      <c r="E178" s="10">
        <f>IF($A178="","",IF($D$4="",0,$D$4))</f>
        <v/>
      </c>
      <c r="F178" s="16" t="n"/>
      <c r="G178" s="10">
        <f>IF($A178="","",IFERROR(MIN($C178+$I178,$D178+$E178+IF($F178="",0,$F178)),""))</f>
        <v/>
      </c>
      <c r="H178" s="10">
        <f>IF($A178="","",IFERROR(MAX(0,$G178-$I178),""))</f>
        <v/>
      </c>
      <c r="I178" s="10">
        <f>IF($A178="","",IFERROR($C178*$D$3/12,""))</f>
        <v/>
      </c>
      <c r="J178" s="10">
        <f>IF($A178="","",IFERROR(MAX(0,$C178-$H178),""))</f>
        <v/>
      </c>
      <c r="K178" s="14" t="n"/>
    </row>
    <row r="179">
      <c r="A179" s="28">
        <f>IF(OR($B$3="",$D$3="",$F$3="",$H$3="",$B$4="",173&gt;$F$3,$J178="",IFERROR($J178&lt;=0,TRUE)),"",173)</f>
        <v/>
      </c>
      <c r="B179" s="19">
        <f>IF($A179="","",IFERROR(EDATE($B$4,$A179-1),""))</f>
        <v/>
      </c>
      <c r="C179" s="9">
        <f>IF($A179="","",$J178)</f>
        <v/>
      </c>
      <c r="D179" s="9">
        <f>IF($A179="","",IFERROR(MIN($H$3,$C179+$I179),""))</f>
        <v/>
      </c>
      <c r="E179" s="9">
        <f>IF($A179="","",IF($D$4="",0,$D$4))</f>
        <v/>
      </c>
      <c r="F179" s="16" t="n"/>
      <c r="G179" s="9">
        <f>IF($A179="","",IFERROR(MIN($C179+$I179,$D179+$E179+IF($F179="",0,$F179)),""))</f>
        <v/>
      </c>
      <c r="H179" s="9">
        <f>IF($A179="","",IFERROR(MAX(0,$G179-$I179),""))</f>
        <v/>
      </c>
      <c r="I179" s="9">
        <f>IF($A179="","",IFERROR($C179*$D$3/12,""))</f>
        <v/>
      </c>
      <c r="J179" s="9">
        <f>IF($A179="","",IFERROR(MAX(0,$C179-$H179),""))</f>
        <v/>
      </c>
      <c r="K179" s="14" t="n"/>
    </row>
    <row r="180">
      <c r="A180" s="29">
        <f>IF(OR($B$3="",$D$3="",$F$3="",$H$3="",$B$4="",174&gt;$F$3,$J179="",IFERROR($J179&lt;=0,TRUE)),"",174)</f>
        <v/>
      </c>
      <c r="B180" s="21">
        <f>IF($A180="","",IFERROR(EDATE($B$4,$A180-1),""))</f>
        <v/>
      </c>
      <c r="C180" s="10">
        <f>IF($A180="","",$J179)</f>
        <v/>
      </c>
      <c r="D180" s="10">
        <f>IF($A180="","",IFERROR(MIN($H$3,$C180+$I180),""))</f>
        <v/>
      </c>
      <c r="E180" s="10">
        <f>IF($A180="","",IF($D$4="",0,$D$4))</f>
        <v/>
      </c>
      <c r="F180" s="16" t="n"/>
      <c r="G180" s="10">
        <f>IF($A180="","",IFERROR(MIN($C180+$I180,$D180+$E180+IF($F180="",0,$F180)),""))</f>
        <v/>
      </c>
      <c r="H180" s="10">
        <f>IF($A180="","",IFERROR(MAX(0,$G180-$I180),""))</f>
        <v/>
      </c>
      <c r="I180" s="10">
        <f>IF($A180="","",IFERROR($C180*$D$3/12,""))</f>
        <v/>
      </c>
      <c r="J180" s="10">
        <f>IF($A180="","",IFERROR(MAX(0,$C180-$H180),""))</f>
        <v/>
      </c>
      <c r="K180" s="14" t="n"/>
    </row>
    <row r="181">
      <c r="A181" s="28">
        <f>IF(OR($B$3="",$D$3="",$F$3="",$H$3="",$B$4="",175&gt;$F$3,$J180="",IFERROR($J180&lt;=0,TRUE)),"",175)</f>
        <v/>
      </c>
      <c r="B181" s="19">
        <f>IF($A181="","",IFERROR(EDATE($B$4,$A181-1),""))</f>
        <v/>
      </c>
      <c r="C181" s="9">
        <f>IF($A181="","",$J180)</f>
        <v/>
      </c>
      <c r="D181" s="9">
        <f>IF($A181="","",IFERROR(MIN($H$3,$C181+$I181),""))</f>
        <v/>
      </c>
      <c r="E181" s="9">
        <f>IF($A181="","",IF($D$4="",0,$D$4))</f>
        <v/>
      </c>
      <c r="F181" s="16" t="n"/>
      <c r="G181" s="9">
        <f>IF($A181="","",IFERROR(MIN($C181+$I181,$D181+$E181+IF($F181="",0,$F181)),""))</f>
        <v/>
      </c>
      <c r="H181" s="9">
        <f>IF($A181="","",IFERROR(MAX(0,$G181-$I181),""))</f>
        <v/>
      </c>
      <c r="I181" s="9">
        <f>IF($A181="","",IFERROR($C181*$D$3/12,""))</f>
        <v/>
      </c>
      <c r="J181" s="9">
        <f>IF($A181="","",IFERROR(MAX(0,$C181-$H181),""))</f>
        <v/>
      </c>
      <c r="K181" s="14" t="n"/>
    </row>
    <row r="182">
      <c r="A182" s="29">
        <f>IF(OR($B$3="",$D$3="",$F$3="",$H$3="",$B$4="",176&gt;$F$3,$J181="",IFERROR($J181&lt;=0,TRUE)),"",176)</f>
        <v/>
      </c>
      <c r="B182" s="21">
        <f>IF($A182="","",IFERROR(EDATE($B$4,$A182-1),""))</f>
        <v/>
      </c>
      <c r="C182" s="10">
        <f>IF($A182="","",$J181)</f>
        <v/>
      </c>
      <c r="D182" s="10">
        <f>IF($A182="","",IFERROR(MIN($H$3,$C182+$I182),""))</f>
        <v/>
      </c>
      <c r="E182" s="10">
        <f>IF($A182="","",IF($D$4="",0,$D$4))</f>
        <v/>
      </c>
      <c r="F182" s="16" t="n"/>
      <c r="G182" s="10">
        <f>IF($A182="","",IFERROR(MIN($C182+$I182,$D182+$E182+IF($F182="",0,$F182)),""))</f>
        <v/>
      </c>
      <c r="H182" s="10">
        <f>IF($A182="","",IFERROR(MAX(0,$G182-$I182),""))</f>
        <v/>
      </c>
      <c r="I182" s="10">
        <f>IF($A182="","",IFERROR($C182*$D$3/12,""))</f>
        <v/>
      </c>
      <c r="J182" s="10">
        <f>IF($A182="","",IFERROR(MAX(0,$C182-$H182),""))</f>
        <v/>
      </c>
      <c r="K182" s="14" t="n"/>
    </row>
    <row r="183">
      <c r="A183" s="28">
        <f>IF(OR($B$3="",$D$3="",$F$3="",$H$3="",$B$4="",177&gt;$F$3,$J182="",IFERROR($J182&lt;=0,TRUE)),"",177)</f>
        <v/>
      </c>
      <c r="B183" s="19">
        <f>IF($A183="","",IFERROR(EDATE($B$4,$A183-1),""))</f>
        <v/>
      </c>
      <c r="C183" s="9">
        <f>IF($A183="","",$J182)</f>
        <v/>
      </c>
      <c r="D183" s="9">
        <f>IF($A183="","",IFERROR(MIN($H$3,$C183+$I183),""))</f>
        <v/>
      </c>
      <c r="E183" s="9">
        <f>IF($A183="","",IF($D$4="",0,$D$4))</f>
        <v/>
      </c>
      <c r="F183" s="16" t="n"/>
      <c r="G183" s="9">
        <f>IF($A183="","",IFERROR(MIN($C183+$I183,$D183+$E183+IF($F183="",0,$F183)),""))</f>
        <v/>
      </c>
      <c r="H183" s="9">
        <f>IF($A183="","",IFERROR(MAX(0,$G183-$I183),""))</f>
        <v/>
      </c>
      <c r="I183" s="9">
        <f>IF($A183="","",IFERROR($C183*$D$3/12,""))</f>
        <v/>
      </c>
      <c r="J183" s="9">
        <f>IF($A183="","",IFERROR(MAX(0,$C183-$H183),""))</f>
        <v/>
      </c>
      <c r="K183" s="14" t="n"/>
    </row>
    <row r="184">
      <c r="A184" s="29">
        <f>IF(OR($B$3="",$D$3="",$F$3="",$H$3="",$B$4="",178&gt;$F$3,$J183="",IFERROR($J183&lt;=0,TRUE)),"",178)</f>
        <v/>
      </c>
      <c r="B184" s="21">
        <f>IF($A184="","",IFERROR(EDATE($B$4,$A184-1),""))</f>
        <v/>
      </c>
      <c r="C184" s="10">
        <f>IF($A184="","",$J183)</f>
        <v/>
      </c>
      <c r="D184" s="10">
        <f>IF($A184="","",IFERROR(MIN($H$3,$C184+$I184),""))</f>
        <v/>
      </c>
      <c r="E184" s="10">
        <f>IF($A184="","",IF($D$4="",0,$D$4))</f>
        <v/>
      </c>
      <c r="F184" s="16" t="n"/>
      <c r="G184" s="10">
        <f>IF($A184="","",IFERROR(MIN($C184+$I184,$D184+$E184+IF($F184="",0,$F184)),""))</f>
        <v/>
      </c>
      <c r="H184" s="10">
        <f>IF($A184="","",IFERROR(MAX(0,$G184-$I184),""))</f>
        <v/>
      </c>
      <c r="I184" s="10">
        <f>IF($A184="","",IFERROR($C184*$D$3/12,""))</f>
        <v/>
      </c>
      <c r="J184" s="10">
        <f>IF($A184="","",IFERROR(MAX(0,$C184-$H184),""))</f>
        <v/>
      </c>
      <c r="K184" s="14" t="n"/>
    </row>
    <row r="185">
      <c r="A185" s="28">
        <f>IF(OR($B$3="",$D$3="",$F$3="",$H$3="",$B$4="",179&gt;$F$3,$J184="",IFERROR($J184&lt;=0,TRUE)),"",179)</f>
        <v/>
      </c>
      <c r="B185" s="19">
        <f>IF($A185="","",IFERROR(EDATE($B$4,$A185-1),""))</f>
        <v/>
      </c>
      <c r="C185" s="9">
        <f>IF($A185="","",$J184)</f>
        <v/>
      </c>
      <c r="D185" s="9">
        <f>IF($A185="","",IFERROR(MIN($H$3,$C185+$I185),""))</f>
        <v/>
      </c>
      <c r="E185" s="9">
        <f>IF($A185="","",IF($D$4="",0,$D$4))</f>
        <v/>
      </c>
      <c r="F185" s="16" t="n"/>
      <c r="G185" s="9">
        <f>IF($A185="","",IFERROR(MIN($C185+$I185,$D185+$E185+IF($F185="",0,$F185)),""))</f>
        <v/>
      </c>
      <c r="H185" s="9">
        <f>IF($A185="","",IFERROR(MAX(0,$G185-$I185),""))</f>
        <v/>
      </c>
      <c r="I185" s="9">
        <f>IF($A185="","",IFERROR($C185*$D$3/12,""))</f>
        <v/>
      </c>
      <c r="J185" s="9">
        <f>IF($A185="","",IFERROR(MAX(0,$C185-$H185),""))</f>
        <v/>
      </c>
      <c r="K185" s="14" t="n"/>
    </row>
    <row r="186">
      <c r="A186" s="29">
        <f>IF(OR($B$3="",$D$3="",$F$3="",$H$3="",$B$4="",180&gt;$F$3,$J185="",IFERROR($J185&lt;=0,TRUE)),"",180)</f>
        <v/>
      </c>
      <c r="B186" s="21">
        <f>IF($A186="","",IFERROR(EDATE($B$4,$A186-1),""))</f>
        <v/>
      </c>
      <c r="C186" s="10">
        <f>IF($A186="","",$J185)</f>
        <v/>
      </c>
      <c r="D186" s="10">
        <f>IF($A186="","",IFERROR(MIN($H$3,$C186+$I186),""))</f>
        <v/>
      </c>
      <c r="E186" s="10">
        <f>IF($A186="","",IF($D$4="",0,$D$4))</f>
        <v/>
      </c>
      <c r="F186" s="16" t="n"/>
      <c r="G186" s="10">
        <f>IF($A186="","",IFERROR(MIN($C186+$I186,$D186+$E186+IF($F186="",0,$F186)),""))</f>
        <v/>
      </c>
      <c r="H186" s="10">
        <f>IF($A186="","",IFERROR(MAX(0,$G186-$I186),""))</f>
        <v/>
      </c>
      <c r="I186" s="10">
        <f>IF($A186="","",IFERROR($C186*$D$3/12,""))</f>
        <v/>
      </c>
      <c r="J186" s="10">
        <f>IF($A186="","",IFERROR(MAX(0,$C186-$H186),""))</f>
        <v/>
      </c>
      <c r="K186" s="14" t="n"/>
    </row>
    <row r="187">
      <c r="A187" s="28">
        <f>IF(OR($B$3="",$D$3="",$F$3="",$H$3="",$B$4="",181&gt;$F$3,$J186="",IFERROR($J186&lt;=0,TRUE)),"",181)</f>
        <v/>
      </c>
      <c r="B187" s="19">
        <f>IF($A187="","",IFERROR(EDATE($B$4,$A187-1),""))</f>
        <v/>
      </c>
      <c r="C187" s="9">
        <f>IF($A187="","",$J186)</f>
        <v/>
      </c>
      <c r="D187" s="9">
        <f>IF($A187="","",IFERROR(MIN($H$3,$C187+$I187),""))</f>
        <v/>
      </c>
      <c r="E187" s="9">
        <f>IF($A187="","",IF($D$4="",0,$D$4))</f>
        <v/>
      </c>
      <c r="F187" s="16" t="n"/>
      <c r="G187" s="9">
        <f>IF($A187="","",IFERROR(MIN($C187+$I187,$D187+$E187+IF($F187="",0,$F187)),""))</f>
        <v/>
      </c>
      <c r="H187" s="9">
        <f>IF($A187="","",IFERROR(MAX(0,$G187-$I187),""))</f>
        <v/>
      </c>
      <c r="I187" s="9">
        <f>IF($A187="","",IFERROR($C187*$D$3/12,""))</f>
        <v/>
      </c>
      <c r="J187" s="9">
        <f>IF($A187="","",IFERROR(MAX(0,$C187-$H187),""))</f>
        <v/>
      </c>
      <c r="K187" s="14" t="n"/>
    </row>
    <row r="188">
      <c r="A188" s="29">
        <f>IF(OR($B$3="",$D$3="",$F$3="",$H$3="",$B$4="",182&gt;$F$3,$J187="",IFERROR($J187&lt;=0,TRUE)),"",182)</f>
        <v/>
      </c>
      <c r="B188" s="21">
        <f>IF($A188="","",IFERROR(EDATE($B$4,$A188-1),""))</f>
        <v/>
      </c>
      <c r="C188" s="10">
        <f>IF($A188="","",$J187)</f>
        <v/>
      </c>
      <c r="D188" s="10">
        <f>IF($A188="","",IFERROR(MIN($H$3,$C188+$I188),""))</f>
        <v/>
      </c>
      <c r="E188" s="10">
        <f>IF($A188="","",IF($D$4="",0,$D$4))</f>
        <v/>
      </c>
      <c r="F188" s="16" t="n"/>
      <c r="G188" s="10">
        <f>IF($A188="","",IFERROR(MIN($C188+$I188,$D188+$E188+IF($F188="",0,$F188)),""))</f>
        <v/>
      </c>
      <c r="H188" s="10">
        <f>IF($A188="","",IFERROR(MAX(0,$G188-$I188),""))</f>
        <v/>
      </c>
      <c r="I188" s="10">
        <f>IF($A188="","",IFERROR($C188*$D$3/12,""))</f>
        <v/>
      </c>
      <c r="J188" s="10">
        <f>IF($A188="","",IFERROR(MAX(0,$C188-$H188),""))</f>
        <v/>
      </c>
      <c r="K188" s="14" t="n"/>
    </row>
    <row r="189">
      <c r="A189" s="28">
        <f>IF(OR($B$3="",$D$3="",$F$3="",$H$3="",$B$4="",183&gt;$F$3,$J188="",IFERROR($J188&lt;=0,TRUE)),"",183)</f>
        <v/>
      </c>
      <c r="B189" s="19">
        <f>IF($A189="","",IFERROR(EDATE($B$4,$A189-1),""))</f>
        <v/>
      </c>
      <c r="C189" s="9">
        <f>IF($A189="","",$J188)</f>
        <v/>
      </c>
      <c r="D189" s="9">
        <f>IF($A189="","",IFERROR(MIN($H$3,$C189+$I189),""))</f>
        <v/>
      </c>
      <c r="E189" s="9">
        <f>IF($A189="","",IF($D$4="",0,$D$4))</f>
        <v/>
      </c>
      <c r="F189" s="16" t="n"/>
      <c r="G189" s="9">
        <f>IF($A189="","",IFERROR(MIN($C189+$I189,$D189+$E189+IF($F189="",0,$F189)),""))</f>
        <v/>
      </c>
      <c r="H189" s="9">
        <f>IF($A189="","",IFERROR(MAX(0,$G189-$I189),""))</f>
        <v/>
      </c>
      <c r="I189" s="9">
        <f>IF($A189="","",IFERROR($C189*$D$3/12,""))</f>
        <v/>
      </c>
      <c r="J189" s="9">
        <f>IF($A189="","",IFERROR(MAX(0,$C189-$H189),""))</f>
        <v/>
      </c>
      <c r="K189" s="14" t="n"/>
    </row>
    <row r="190">
      <c r="A190" s="29">
        <f>IF(OR($B$3="",$D$3="",$F$3="",$H$3="",$B$4="",184&gt;$F$3,$J189="",IFERROR($J189&lt;=0,TRUE)),"",184)</f>
        <v/>
      </c>
      <c r="B190" s="21">
        <f>IF($A190="","",IFERROR(EDATE($B$4,$A190-1),""))</f>
        <v/>
      </c>
      <c r="C190" s="10">
        <f>IF($A190="","",$J189)</f>
        <v/>
      </c>
      <c r="D190" s="10">
        <f>IF($A190="","",IFERROR(MIN($H$3,$C190+$I190),""))</f>
        <v/>
      </c>
      <c r="E190" s="10">
        <f>IF($A190="","",IF($D$4="",0,$D$4))</f>
        <v/>
      </c>
      <c r="F190" s="16" t="n"/>
      <c r="G190" s="10">
        <f>IF($A190="","",IFERROR(MIN($C190+$I190,$D190+$E190+IF($F190="",0,$F190)),""))</f>
        <v/>
      </c>
      <c r="H190" s="10">
        <f>IF($A190="","",IFERROR(MAX(0,$G190-$I190),""))</f>
        <v/>
      </c>
      <c r="I190" s="10">
        <f>IF($A190="","",IFERROR($C190*$D$3/12,""))</f>
        <v/>
      </c>
      <c r="J190" s="10">
        <f>IF($A190="","",IFERROR(MAX(0,$C190-$H190),""))</f>
        <v/>
      </c>
      <c r="K190" s="14" t="n"/>
    </row>
    <row r="191">
      <c r="A191" s="28">
        <f>IF(OR($B$3="",$D$3="",$F$3="",$H$3="",$B$4="",185&gt;$F$3,$J190="",IFERROR($J190&lt;=0,TRUE)),"",185)</f>
        <v/>
      </c>
      <c r="B191" s="19">
        <f>IF($A191="","",IFERROR(EDATE($B$4,$A191-1),""))</f>
        <v/>
      </c>
      <c r="C191" s="9">
        <f>IF($A191="","",$J190)</f>
        <v/>
      </c>
      <c r="D191" s="9">
        <f>IF($A191="","",IFERROR(MIN($H$3,$C191+$I191),""))</f>
        <v/>
      </c>
      <c r="E191" s="9">
        <f>IF($A191="","",IF($D$4="",0,$D$4))</f>
        <v/>
      </c>
      <c r="F191" s="16" t="n"/>
      <c r="G191" s="9">
        <f>IF($A191="","",IFERROR(MIN($C191+$I191,$D191+$E191+IF($F191="",0,$F191)),""))</f>
        <v/>
      </c>
      <c r="H191" s="9">
        <f>IF($A191="","",IFERROR(MAX(0,$G191-$I191),""))</f>
        <v/>
      </c>
      <c r="I191" s="9">
        <f>IF($A191="","",IFERROR($C191*$D$3/12,""))</f>
        <v/>
      </c>
      <c r="J191" s="9">
        <f>IF($A191="","",IFERROR(MAX(0,$C191-$H191),""))</f>
        <v/>
      </c>
      <c r="K191" s="14" t="n"/>
    </row>
    <row r="192">
      <c r="A192" s="29">
        <f>IF(OR($B$3="",$D$3="",$F$3="",$H$3="",$B$4="",186&gt;$F$3,$J191="",IFERROR($J191&lt;=0,TRUE)),"",186)</f>
        <v/>
      </c>
      <c r="B192" s="21">
        <f>IF($A192="","",IFERROR(EDATE($B$4,$A192-1),""))</f>
        <v/>
      </c>
      <c r="C192" s="10">
        <f>IF($A192="","",$J191)</f>
        <v/>
      </c>
      <c r="D192" s="10">
        <f>IF($A192="","",IFERROR(MIN($H$3,$C192+$I192),""))</f>
        <v/>
      </c>
      <c r="E192" s="10">
        <f>IF($A192="","",IF($D$4="",0,$D$4))</f>
        <v/>
      </c>
      <c r="F192" s="16" t="n"/>
      <c r="G192" s="10">
        <f>IF($A192="","",IFERROR(MIN($C192+$I192,$D192+$E192+IF($F192="",0,$F192)),""))</f>
        <v/>
      </c>
      <c r="H192" s="10">
        <f>IF($A192="","",IFERROR(MAX(0,$G192-$I192),""))</f>
        <v/>
      </c>
      <c r="I192" s="10">
        <f>IF($A192="","",IFERROR($C192*$D$3/12,""))</f>
        <v/>
      </c>
      <c r="J192" s="10">
        <f>IF($A192="","",IFERROR(MAX(0,$C192-$H192),""))</f>
        <v/>
      </c>
      <c r="K192" s="14" t="n"/>
    </row>
    <row r="193">
      <c r="A193" s="28">
        <f>IF(OR($B$3="",$D$3="",$F$3="",$H$3="",$B$4="",187&gt;$F$3,$J192="",IFERROR($J192&lt;=0,TRUE)),"",187)</f>
        <v/>
      </c>
      <c r="B193" s="19">
        <f>IF($A193="","",IFERROR(EDATE($B$4,$A193-1),""))</f>
        <v/>
      </c>
      <c r="C193" s="9">
        <f>IF($A193="","",$J192)</f>
        <v/>
      </c>
      <c r="D193" s="9">
        <f>IF($A193="","",IFERROR(MIN($H$3,$C193+$I193),""))</f>
        <v/>
      </c>
      <c r="E193" s="9">
        <f>IF($A193="","",IF($D$4="",0,$D$4))</f>
        <v/>
      </c>
      <c r="F193" s="16" t="n"/>
      <c r="G193" s="9">
        <f>IF($A193="","",IFERROR(MIN($C193+$I193,$D193+$E193+IF($F193="",0,$F193)),""))</f>
        <v/>
      </c>
      <c r="H193" s="9">
        <f>IF($A193="","",IFERROR(MAX(0,$G193-$I193),""))</f>
        <v/>
      </c>
      <c r="I193" s="9">
        <f>IF($A193="","",IFERROR($C193*$D$3/12,""))</f>
        <v/>
      </c>
      <c r="J193" s="9">
        <f>IF($A193="","",IFERROR(MAX(0,$C193-$H193),""))</f>
        <v/>
      </c>
      <c r="K193" s="14" t="n"/>
    </row>
    <row r="194">
      <c r="A194" s="29">
        <f>IF(OR($B$3="",$D$3="",$F$3="",$H$3="",$B$4="",188&gt;$F$3,$J193="",IFERROR($J193&lt;=0,TRUE)),"",188)</f>
        <v/>
      </c>
      <c r="B194" s="21">
        <f>IF($A194="","",IFERROR(EDATE($B$4,$A194-1),""))</f>
        <v/>
      </c>
      <c r="C194" s="10">
        <f>IF($A194="","",$J193)</f>
        <v/>
      </c>
      <c r="D194" s="10">
        <f>IF($A194="","",IFERROR(MIN($H$3,$C194+$I194),""))</f>
        <v/>
      </c>
      <c r="E194" s="10">
        <f>IF($A194="","",IF($D$4="",0,$D$4))</f>
        <v/>
      </c>
      <c r="F194" s="16" t="n"/>
      <c r="G194" s="10">
        <f>IF($A194="","",IFERROR(MIN($C194+$I194,$D194+$E194+IF($F194="",0,$F194)),""))</f>
        <v/>
      </c>
      <c r="H194" s="10">
        <f>IF($A194="","",IFERROR(MAX(0,$G194-$I194),""))</f>
        <v/>
      </c>
      <c r="I194" s="10">
        <f>IF($A194="","",IFERROR($C194*$D$3/12,""))</f>
        <v/>
      </c>
      <c r="J194" s="10">
        <f>IF($A194="","",IFERROR(MAX(0,$C194-$H194),""))</f>
        <v/>
      </c>
      <c r="K194" s="14" t="n"/>
    </row>
    <row r="195">
      <c r="A195" s="28">
        <f>IF(OR($B$3="",$D$3="",$F$3="",$H$3="",$B$4="",189&gt;$F$3,$J194="",IFERROR($J194&lt;=0,TRUE)),"",189)</f>
        <v/>
      </c>
      <c r="B195" s="19">
        <f>IF($A195="","",IFERROR(EDATE($B$4,$A195-1),""))</f>
        <v/>
      </c>
      <c r="C195" s="9">
        <f>IF($A195="","",$J194)</f>
        <v/>
      </c>
      <c r="D195" s="9">
        <f>IF($A195="","",IFERROR(MIN($H$3,$C195+$I195),""))</f>
        <v/>
      </c>
      <c r="E195" s="9">
        <f>IF($A195="","",IF($D$4="",0,$D$4))</f>
        <v/>
      </c>
      <c r="F195" s="16" t="n"/>
      <c r="G195" s="9">
        <f>IF($A195="","",IFERROR(MIN($C195+$I195,$D195+$E195+IF($F195="",0,$F195)),""))</f>
        <v/>
      </c>
      <c r="H195" s="9">
        <f>IF($A195="","",IFERROR(MAX(0,$G195-$I195),""))</f>
        <v/>
      </c>
      <c r="I195" s="9">
        <f>IF($A195="","",IFERROR($C195*$D$3/12,""))</f>
        <v/>
      </c>
      <c r="J195" s="9">
        <f>IF($A195="","",IFERROR(MAX(0,$C195-$H195),""))</f>
        <v/>
      </c>
      <c r="K195" s="14" t="n"/>
    </row>
    <row r="196">
      <c r="A196" s="29">
        <f>IF(OR($B$3="",$D$3="",$F$3="",$H$3="",$B$4="",190&gt;$F$3,$J195="",IFERROR($J195&lt;=0,TRUE)),"",190)</f>
        <v/>
      </c>
      <c r="B196" s="21">
        <f>IF($A196="","",IFERROR(EDATE($B$4,$A196-1),""))</f>
        <v/>
      </c>
      <c r="C196" s="10">
        <f>IF($A196="","",$J195)</f>
        <v/>
      </c>
      <c r="D196" s="10">
        <f>IF($A196="","",IFERROR(MIN($H$3,$C196+$I196),""))</f>
        <v/>
      </c>
      <c r="E196" s="10">
        <f>IF($A196="","",IF($D$4="",0,$D$4))</f>
        <v/>
      </c>
      <c r="F196" s="16" t="n"/>
      <c r="G196" s="10">
        <f>IF($A196="","",IFERROR(MIN($C196+$I196,$D196+$E196+IF($F196="",0,$F196)),""))</f>
        <v/>
      </c>
      <c r="H196" s="10">
        <f>IF($A196="","",IFERROR(MAX(0,$G196-$I196),""))</f>
        <v/>
      </c>
      <c r="I196" s="10">
        <f>IF($A196="","",IFERROR($C196*$D$3/12,""))</f>
        <v/>
      </c>
      <c r="J196" s="10">
        <f>IF($A196="","",IFERROR(MAX(0,$C196-$H196),""))</f>
        <v/>
      </c>
      <c r="K196" s="14" t="n"/>
    </row>
    <row r="197">
      <c r="A197" s="28">
        <f>IF(OR($B$3="",$D$3="",$F$3="",$H$3="",$B$4="",191&gt;$F$3,$J196="",IFERROR($J196&lt;=0,TRUE)),"",191)</f>
        <v/>
      </c>
      <c r="B197" s="19">
        <f>IF($A197="","",IFERROR(EDATE($B$4,$A197-1),""))</f>
        <v/>
      </c>
      <c r="C197" s="9">
        <f>IF($A197="","",$J196)</f>
        <v/>
      </c>
      <c r="D197" s="9">
        <f>IF($A197="","",IFERROR(MIN($H$3,$C197+$I197),""))</f>
        <v/>
      </c>
      <c r="E197" s="9">
        <f>IF($A197="","",IF($D$4="",0,$D$4))</f>
        <v/>
      </c>
      <c r="F197" s="16" t="n"/>
      <c r="G197" s="9">
        <f>IF($A197="","",IFERROR(MIN($C197+$I197,$D197+$E197+IF($F197="",0,$F197)),""))</f>
        <v/>
      </c>
      <c r="H197" s="9">
        <f>IF($A197="","",IFERROR(MAX(0,$G197-$I197),""))</f>
        <v/>
      </c>
      <c r="I197" s="9">
        <f>IF($A197="","",IFERROR($C197*$D$3/12,""))</f>
        <v/>
      </c>
      <c r="J197" s="9">
        <f>IF($A197="","",IFERROR(MAX(0,$C197-$H197),""))</f>
        <v/>
      </c>
      <c r="K197" s="14" t="n"/>
    </row>
    <row r="198">
      <c r="A198" s="29">
        <f>IF(OR($B$3="",$D$3="",$F$3="",$H$3="",$B$4="",192&gt;$F$3,$J197="",IFERROR($J197&lt;=0,TRUE)),"",192)</f>
        <v/>
      </c>
      <c r="B198" s="21">
        <f>IF($A198="","",IFERROR(EDATE($B$4,$A198-1),""))</f>
        <v/>
      </c>
      <c r="C198" s="10">
        <f>IF($A198="","",$J197)</f>
        <v/>
      </c>
      <c r="D198" s="10">
        <f>IF($A198="","",IFERROR(MIN($H$3,$C198+$I198),""))</f>
        <v/>
      </c>
      <c r="E198" s="10">
        <f>IF($A198="","",IF($D$4="",0,$D$4))</f>
        <v/>
      </c>
      <c r="F198" s="16" t="n"/>
      <c r="G198" s="10">
        <f>IF($A198="","",IFERROR(MIN($C198+$I198,$D198+$E198+IF($F198="",0,$F198)),""))</f>
        <v/>
      </c>
      <c r="H198" s="10">
        <f>IF($A198="","",IFERROR(MAX(0,$G198-$I198),""))</f>
        <v/>
      </c>
      <c r="I198" s="10">
        <f>IF($A198="","",IFERROR($C198*$D$3/12,""))</f>
        <v/>
      </c>
      <c r="J198" s="10">
        <f>IF($A198="","",IFERROR(MAX(0,$C198-$H198),""))</f>
        <v/>
      </c>
      <c r="K198" s="14" t="n"/>
    </row>
    <row r="199">
      <c r="A199" s="28">
        <f>IF(OR($B$3="",$D$3="",$F$3="",$H$3="",$B$4="",193&gt;$F$3,$J198="",IFERROR($J198&lt;=0,TRUE)),"",193)</f>
        <v/>
      </c>
      <c r="B199" s="19">
        <f>IF($A199="","",IFERROR(EDATE($B$4,$A199-1),""))</f>
        <v/>
      </c>
      <c r="C199" s="9">
        <f>IF($A199="","",$J198)</f>
        <v/>
      </c>
      <c r="D199" s="9">
        <f>IF($A199="","",IFERROR(MIN($H$3,$C199+$I199),""))</f>
        <v/>
      </c>
      <c r="E199" s="9">
        <f>IF($A199="","",IF($D$4="",0,$D$4))</f>
        <v/>
      </c>
      <c r="F199" s="16" t="n"/>
      <c r="G199" s="9">
        <f>IF($A199="","",IFERROR(MIN($C199+$I199,$D199+$E199+IF($F199="",0,$F199)),""))</f>
        <v/>
      </c>
      <c r="H199" s="9">
        <f>IF($A199="","",IFERROR(MAX(0,$G199-$I199),""))</f>
        <v/>
      </c>
      <c r="I199" s="9">
        <f>IF($A199="","",IFERROR($C199*$D$3/12,""))</f>
        <v/>
      </c>
      <c r="J199" s="9">
        <f>IF($A199="","",IFERROR(MAX(0,$C199-$H199),""))</f>
        <v/>
      </c>
      <c r="K199" s="14" t="n"/>
    </row>
    <row r="200">
      <c r="A200" s="29">
        <f>IF(OR($B$3="",$D$3="",$F$3="",$H$3="",$B$4="",194&gt;$F$3,$J199="",IFERROR($J199&lt;=0,TRUE)),"",194)</f>
        <v/>
      </c>
      <c r="B200" s="21">
        <f>IF($A200="","",IFERROR(EDATE($B$4,$A200-1),""))</f>
        <v/>
      </c>
      <c r="C200" s="10">
        <f>IF($A200="","",$J199)</f>
        <v/>
      </c>
      <c r="D200" s="10">
        <f>IF($A200="","",IFERROR(MIN($H$3,$C200+$I200),""))</f>
        <v/>
      </c>
      <c r="E200" s="10">
        <f>IF($A200="","",IF($D$4="",0,$D$4))</f>
        <v/>
      </c>
      <c r="F200" s="16" t="n"/>
      <c r="G200" s="10">
        <f>IF($A200="","",IFERROR(MIN($C200+$I200,$D200+$E200+IF($F200="",0,$F200)),""))</f>
        <v/>
      </c>
      <c r="H200" s="10">
        <f>IF($A200="","",IFERROR(MAX(0,$G200-$I200),""))</f>
        <v/>
      </c>
      <c r="I200" s="10">
        <f>IF($A200="","",IFERROR($C200*$D$3/12,""))</f>
        <v/>
      </c>
      <c r="J200" s="10">
        <f>IF($A200="","",IFERROR(MAX(0,$C200-$H200),""))</f>
        <v/>
      </c>
      <c r="K200" s="14" t="n"/>
    </row>
    <row r="201">
      <c r="A201" s="28">
        <f>IF(OR($B$3="",$D$3="",$F$3="",$H$3="",$B$4="",195&gt;$F$3,$J200="",IFERROR($J200&lt;=0,TRUE)),"",195)</f>
        <v/>
      </c>
      <c r="B201" s="19">
        <f>IF($A201="","",IFERROR(EDATE($B$4,$A201-1),""))</f>
        <v/>
      </c>
      <c r="C201" s="9">
        <f>IF($A201="","",$J200)</f>
        <v/>
      </c>
      <c r="D201" s="9">
        <f>IF($A201="","",IFERROR(MIN($H$3,$C201+$I201),""))</f>
        <v/>
      </c>
      <c r="E201" s="9">
        <f>IF($A201="","",IF($D$4="",0,$D$4))</f>
        <v/>
      </c>
      <c r="F201" s="16" t="n"/>
      <c r="G201" s="9">
        <f>IF($A201="","",IFERROR(MIN($C201+$I201,$D201+$E201+IF($F201="",0,$F201)),""))</f>
        <v/>
      </c>
      <c r="H201" s="9">
        <f>IF($A201="","",IFERROR(MAX(0,$G201-$I201),""))</f>
        <v/>
      </c>
      <c r="I201" s="9">
        <f>IF($A201="","",IFERROR($C201*$D$3/12,""))</f>
        <v/>
      </c>
      <c r="J201" s="9">
        <f>IF($A201="","",IFERROR(MAX(0,$C201-$H201),""))</f>
        <v/>
      </c>
      <c r="K201" s="14" t="n"/>
    </row>
    <row r="202">
      <c r="A202" s="29">
        <f>IF(OR($B$3="",$D$3="",$F$3="",$H$3="",$B$4="",196&gt;$F$3,$J201="",IFERROR($J201&lt;=0,TRUE)),"",196)</f>
        <v/>
      </c>
      <c r="B202" s="21">
        <f>IF($A202="","",IFERROR(EDATE($B$4,$A202-1),""))</f>
        <v/>
      </c>
      <c r="C202" s="10">
        <f>IF($A202="","",$J201)</f>
        <v/>
      </c>
      <c r="D202" s="10">
        <f>IF($A202="","",IFERROR(MIN($H$3,$C202+$I202),""))</f>
        <v/>
      </c>
      <c r="E202" s="10">
        <f>IF($A202="","",IF($D$4="",0,$D$4))</f>
        <v/>
      </c>
      <c r="F202" s="16" t="n"/>
      <c r="G202" s="10">
        <f>IF($A202="","",IFERROR(MIN($C202+$I202,$D202+$E202+IF($F202="",0,$F202)),""))</f>
        <v/>
      </c>
      <c r="H202" s="10">
        <f>IF($A202="","",IFERROR(MAX(0,$G202-$I202),""))</f>
        <v/>
      </c>
      <c r="I202" s="10">
        <f>IF($A202="","",IFERROR($C202*$D$3/12,""))</f>
        <v/>
      </c>
      <c r="J202" s="10">
        <f>IF($A202="","",IFERROR(MAX(0,$C202-$H202),""))</f>
        <v/>
      </c>
      <c r="K202" s="14" t="n"/>
    </row>
    <row r="203">
      <c r="A203" s="28">
        <f>IF(OR($B$3="",$D$3="",$F$3="",$H$3="",$B$4="",197&gt;$F$3,$J202="",IFERROR($J202&lt;=0,TRUE)),"",197)</f>
        <v/>
      </c>
      <c r="B203" s="19">
        <f>IF($A203="","",IFERROR(EDATE($B$4,$A203-1),""))</f>
        <v/>
      </c>
      <c r="C203" s="9">
        <f>IF($A203="","",$J202)</f>
        <v/>
      </c>
      <c r="D203" s="9">
        <f>IF($A203="","",IFERROR(MIN($H$3,$C203+$I203),""))</f>
        <v/>
      </c>
      <c r="E203" s="9">
        <f>IF($A203="","",IF($D$4="",0,$D$4))</f>
        <v/>
      </c>
      <c r="F203" s="16" t="n"/>
      <c r="G203" s="9">
        <f>IF($A203="","",IFERROR(MIN($C203+$I203,$D203+$E203+IF($F203="",0,$F203)),""))</f>
        <v/>
      </c>
      <c r="H203" s="9">
        <f>IF($A203="","",IFERROR(MAX(0,$G203-$I203),""))</f>
        <v/>
      </c>
      <c r="I203" s="9">
        <f>IF($A203="","",IFERROR($C203*$D$3/12,""))</f>
        <v/>
      </c>
      <c r="J203" s="9">
        <f>IF($A203="","",IFERROR(MAX(0,$C203-$H203),""))</f>
        <v/>
      </c>
      <c r="K203" s="14" t="n"/>
    </row>
    <row r="204">
      <c r="A204" s="29">
        <f>IF(OR($B$3="",$D$3="",$F$3="",$H$3="",$B$4="",198&gt;$F$3,$J203="",IFERROR($J203&lt;=0,TRUE)),"",198)</f>
        <v/>
      </c>
      <c r="B204" s="21">
        <f>IF($A204="","",IFERROR(EDATE($B$4,$A204-1),""))</f>
        <v/>
      </c>
      <c r="C204" s="10">
        <f>IF($A204="","",$J203)</f>
        <v/>
      </c>
      <c r="D204" s="10">
        <f>IF($A204="","",IFERROR(MIN($H$3,$C204+$I204),""))</f>
        <v/>
      </c>
      <c r="E204" s="10">
        <f>IF($A204="","",IF($D$4="",0,$D$4))</f>
        <v/>
      </c>
      <c r="F204" s="16" t="n"/>
      <c r="G204" s="10">
        <f>IF($A204="","",IFERROR(MIN($C204+$I204,$D204+$E204+IF($F204="",0,$F204)),""))</f>
        <v/>
      </c>
      <c r="H204" s="10">
        <f>IF($A204="","",IFERROR(MAX(0,$G204-$I204),""))</f>
        <v/>
      </c>
      <c r="I204" s="10">
        <f>IF($A204="","",IFERROR($C204*$D$3/12,""))</f>
        <v/>
      </c>
      <c r="J204" s="10">
        <f>IF($A204="","",IFERROR(MAX(0,$C204-$H204),""))</f>
        <v/>
      </c>
      <c r="K204" s="14" t="n"/>
    </row>
    <row r="205">
      <c r="A205" s="28">
        <f>IF(OR($B$3="",$D$3="",$F$3="",$H$3="",$B$4="",199&gt;$F$3,$J204="",IFERROR($J204&lt;=0,TRUE)),"",199)</f>
        <v/>
      </c>
      <c r="B205" s="19">
        <f>IF($A205="","",IFERROR(EDATE($B$4,$A205-1),""))</f>
        <v/>
      </c>
      <c r="C205" s="9">
        <f>IF($A205="","",$J204)</f>
        <v/>
      </c>
      <c r="D205" s="9">
        <f>IF($A205="","",IFERROR(MIN($H$3,$C205+$I205),""))</f>
        <v/>
      </c>
      <c r="E205" s="9">
        <f>IF($A205="","",IF($D$4="",0,$D$4))</f>
        <v/>
      </c>
      <c r="F205" s="16" t="n"/>
      <c r="G205" s="9">
        <f>IF($A205="","",IFERROR(MIN($C205+$I205,$D205+$E205+IF($F205="",0,$F205)),""))</f>
        <v/>
      </c>
      <c r="H205" s="9">
        <f>IF($A205="","",IFERROR(MAX(0,$G205-$I205),""))</f>
        <v/>
      </c>
      <c r="I205" s="9">
        <f>IF($A205="","",IFERROR($C205*$D$3/12,""))</f>
        <v/>
      </c>
      <c r="J205" s="9">
        <f>IF($A205="","",IFERROR(MAX(0,$C205-$H205),""))</f>
        <v/>
      </c>
      <c r="K205" s="14" t="n"/>
    </row>
    <row r="206">
      <c r="A206" s="29">
        <f>IF(OR($B$3="",$D$3="",$F$3="",$H$3="",$B$4="",200&gt;$F$3,$J205="",IFERROR($J205&lt;=0,TRUE)),"",200)</f>
        <v/>
      </c>
      <c r="B206" s="21">
        <f>IF($A206="","",IFERROR(EDATE($B$4,$A206-1),""))</f>
        <v/>
      </c>
      <c r="C206" s="10">
        <f>IF($A206="","",$J205)</f>
        <v/>
      </c>
      <c r="D206" s="10">
        <f>IF($A206="","",IFERROR(MIN($H$3,$C206+$I206),""))</f>
        <v/>
      </c>
      <c r="E206" s="10">
        <f>IF($A206="","",IF($D$4="",0,$D$4))</f>
        <v/>
      </c>
      <c r="F206" s="16" t="n"/>
      <c r="G206" s="10">
        <f>IF($A206="","",IFERROR(MIN($C206+$I206,$D206+$E206+IF($F206="",0,$F206)),""))</f>
        <v/>
      </c>
      <c r="H206" s="10">
        <f>IF($A206="","",IFERROR(MAX(0,$G206-$I206),""))</f>
        <v/>
      </c>
      <c r="I206" s="10">
        <f>IF($A206="","",IFERROR($C206*$D$3/12,""))</f>
        <v/>
      </c>
      <c r="J206" s="10">
        <f>IF($A206="","",IFERROR(MAX(0,$C206-$H206),""))</f>
        <v/>
      </c>
      <c r="K206" s="14" t="n"/>
    </row>
    <row r="207">
      <c r="A207" s="28">
        <f>IF(OR($B$3="",$D$3="",$F$3="",$H$3="",$B$4="",201&gt;$F$3,$J206="",IFERROR($J206&lt;=0,TRUE)),"",201)</f>
        <v/>
      </c>
      <c r="B207" s="19">
        <f>IF($A207="","",IFERROR(EDATE($B$4,$A207-1),""))</f>
        <v/>
      </c>
      <c r="C207" s="9">
        <f>IF($A207="","",$J206)</f>
        <v/>
      </c>
      <c r="D207" s="9">
        <f>IF($A207="","",IFERROR(MIN($H$3,$C207+$I207),""))</f>
        <v/>
      </c>
      <c r="E207" s="9">
        <f>IF($A207="","",IF($D$4="",0,$D$4))</f>
        <v/>
      </c>
      <c r="F207" s="16" t="n"/>
      <c r="G207" s="9">
        <f>IF($A207="","",IFERROR(MIN($C207+$I207,$D207+$E207+IF($F207="",0,$F207)),""))</f>
        <v/>
      </c>
      <c r="H207" s="9">
        <f>IF($A207="","",IFERROR(MAX(0,$G207-$I207),""))</f>
        <v/>
      </c>
      <c r="I207" s="9">
        <f>IF($A207="","",IFERROR($C207*$D$3/12,""))</f>
        <v/>
      </c>
      <c r="J207" s="9">
        <f>IF($A207="","",IFERROR(MAX(0,$C207-$H207),""))</f>
        <v/>
      </c>
      <c r="K207" s="14" t="n"/>
    </row>
    <row r="208">
      <c r="A208" s="29">
        <f>IF(OR($B$3="",$D$3="",$F$3="",$H$3="",$B$4="",202&gt;$F$3,$J207="",IFERROR($J207&lt;=0,TRUE)),"",202)</f>
        <v/>
      </c>
      <c r="B208" s="21">
        <f>IF($A208="","",IFERROR(EDATE($B$4,$A208-1),""))</f>
        <v/>
      </c>
      <c r="C208" s="10">
        <f>IF($A208="","",$J207)</f>
        <v/>
      </c>
      <c r="D208" s="10">
        <f>IF($A208="","",IFERROR(MIN($H$3,$C208+$I208),""))</f>
        <v/>
      </c>
      <c r="E208" s="10">
        <f>IF($A208="","",IF($D$4="",0,$D$4))</f>
        <v/>
      </c>
      <c r="F208" s="16" t="n"/>
      <c r="G208" s="10">
        <f>IF($A208="","",IFERROR(MIN($C208+$I208,$D208+$E208+IF($F208="",0,$F208)),""))</f>
        <v/>
      </c>
      <c r="H208" s="10">
        <f>IF($A208="","",IFERROR(MAX(0,$G208-$I208),""))</f>
        <v/>
      </c>
      <c r="I208" s="10">
        <f>IF($A208="","",IFERROR($C208*$D$3/12,""))</f>
        <v/>
      </c>
      <c r="J208" s="10">
        <f>IF($A208="","",IFERROR(MAX(0,$C208-$H208),""))</f>
        <v/>
      </c>
      <c r="K208" s="14" t="n"/>
    </row>
    <row r="209">
      <c r="A209" s="28">
        <f>IF(OR($B$3="",$D$3="",$F$3="",$H$3="",$B$4="",203&gt;$F$3,$J208="",IFERROR($J208&lt;=0,TRUE)),"",203)</f>
        <v/>
      </c>
      <c r="B209" s="19">
        <f>IF($A209="","",IFERROR(EDATE($B$4,$A209-1),""))</f>
        <v/>
      </c>
      <c r="C209" s="9">
        <f>IF($A209="","",$J208)</f>
        <v/>
      </c>
      <c r="D209" s="9">
        <f>IF($A209="","",IFERROR(MIN($H$3,$C209+$I209),""))</f>
        <v/>
      </c>
      <c r="E209" s="9">
        <f>IF($A209="","",IF($D$4="",0,$D$4))</f>
        <v/>
      </c>
      <c r="F209" s="16" t="n"/>
      <c r="G209" s="9">
        <f>IF($A209="","",IFERROR(MIN($C209+$I209,$D209+$E209+IF($F209="",0,$F209)),""))</f>
        <v/>
      </c>
      <c r="H209" s="9">
        <f>IF($A209="","",IFERROR(MAX(0,$G209-$I209),""))</f>
        <v/>
      </c>
      <c r="I209" s="9">
        <f>IF($A209="","",IFERROR($C209*$D$3/12,""))</f>
        <v/>
      </c>
      <c r="J209" s="9">
        <f>IF($A209="","",IFERROR(MAX(0,$C209-$H209),""))</f>
        <v/>
      </c>
      <c r="K209" s="14" t="n"/>
    </row>
    <row r="210">
      <c r="A210" s="29">
        <f>IF(OR($B$3="",$D$3="",$F$3="",$H$3="",$B$4="",204&gt;$F$3,$J209="",IFERROR($J209&lt;=0,TRUE)),"",204)</f>
        <v/>
      </c>
      <c r="B210" s="21">
        <f>IF($A210="","",IFERROR(EDATE($B$4,$A210-1),""))</f>
        <v/>
      </c>
      <c r="C210" s="10">
        <f>IF($A210="","",$J209)</f>
        <v/>
      </c>
      <c r="D210" s="10">
        <f>IF($A210="","",IFERROR(MIN($H$3,$C210+$I210),""))</f>
        <v/>
      </c>
      <c r="E210" s="10">
        <f>IF($A210="","",IF($D$4="",0,$D$4))</f>
        <v/>
      </c>
      <c r="F210" s="16" t="n"/>
      <c r="G210" s="10">
        <f>IF($A210="","",IFERROR(MIN($C210+$I210,$D210+$E210+IF($F210="",0,$F210)),""))</f>
        <v/>
      </c>
      <c r="H210" s="10">
        <f>IF($A210="","",IFERROR(MAX(0,$G210-$I210),""))</f>
        <v/>
      </c>
      <c r="I210" s="10">
        <f>IF($A210="","",IFERROR($C210*$D$3/12,""))</f>
        <v/>
      </c>
      <c r="J210" s="10">
        <f>IF($A210="","",IFERROR(MAX(0,$C210-$H210),""))</f>
        <v/>
      </c>
      <c r="K210" s="14" t="n"/>
    </row>
    <row r="211">
      <c r="A211" s="28">
        <f>IF(OR($B$3="",$D$3="",$F$3="",$H$3="",$B$4="",205&gt;$F$3,$J210="",IFERROR($J210&lt;=0,TRUE)),"",205)</f>
        <v/>
      </c>
      <c r="B211" s="19">
        <f>IF($A211="","",IFERROR(EDATE($B$4,$A211-1),""))</f>
        <v/>
      </c>
      <c r="C211" s="9">
        <f>IF($A211="","",$J210)</f>
        <v/>
      </c>
      <c r="D211" s="9">
        <f>IF($A211="","",IFERROR(MIN($H$3,$C211+$I211),""))</f>
        <v/>
      </c>
      <c r="E211" s="9">
        <f>IF($A211="","",IF($D$4="",0,$D$4))</f>
        <v/>
      </c>
      <c r="F211" s="16" t="n"/>
      <c r="G211" s="9">
        <f>IF($A211="","",IFERROR(MIN($C211+$I211,$D211+$E211+IF($F211="",0,$F211)),""))</f>
        <v/>
      </c>
      <c r="H211" s="9">
        <f>IF($A211="","",IFERROR(MAX(0,$G211-$I211),""))</f>
        <v/>
      </c>
      <c r="I211" s="9">
        <f>IF($A211="","",IFERROR($C211*$D$3/12,""))</f>
        <v/>
      </c>
      <c r="J211" s="9">
        <f>IF($A211="","",IFERROR(MAX(0,$C211-$H211),""))</f>
        <v/>
      </c>
      <c r="K211" s="14" t="n"/>
    </row>
    <row r="212">
      <c r="A212" s="29">
        <f>IF(OR($B$3="",$D$3="",$F$3="",$H$3="",$B$4="",206&gt;$F$3,$J211="",IFERROR($J211&lt;=0,TRUE)),"",206)</f>
        <v/>
      </c>
      <c r="B212" s="21">
        <f>IF($A212="","",IFERROR(EDATE($B$4,$A212-1),""))</f>
        <v/>
      </c>
      <c r="C212" s="10">
        <f>IF($A212="","",$J211)</f>
        <v/>
      </c>
      <c r="D212" s="10">
        <f>IF($A212="","",IFERROR(MIN($H$3,$C212+$I212),""))</f>
        <v/>
      </c>
      <c r="E212" s="10">
        <f>IF($A212="","",IF($D$4="",0,$D$4))</f>
        <v/>
      </c>
      <c r="F212" s="16" t="n"/>
      <c r="G212" s="10">
        <f>IF($A212="","",IFERROR(MIN($C212+$I212,$D212+$E212+IF($F212="",0,$F212)),""))</f>
        <v/>
      </c>
      <c r="H212" s="10">
        <f>IF($A212="","",IFERROR(MAX(0,$G212-$I212),""))</f>
        <v/>
      </c>
      <c r="I212" s="10">
        <f>IF($A212="","",IFERROR($C212*$D$3/12,""))</f>
        <v/>
      </c>
      <c r="J212" s="10">
        <f>IF($A212="","",IFERROR(MAX(0,$C212-$H212),""))</f>
        <v/>
      </c>
      <c r="K212" s="14" t="n"/>
    </row>
    <row r="213">
      <c r="A213" s="28">
        <f>IF(OR($B$3="",$D$3="",$F$3="",$H$3="",$B$4="",207&gt;$F$3,$J212="",IFERROR($J212&lt;=0,TRUE)),"",207)</f>
        <v/>
      </c>
      <c r="B213" s="19">
        <f>IF($A213="","",IFERROR(EDATE($B$4,$A213-1),""))</f>
        <v/>
      </c>
      <c r="C213" s="9">
        <f>IF($A213="","",$J212)</f>
        <v/>
      </c>
      <c r="D213" s="9">
        <f>IF($A213="","",IFERROR(MIN($H$3,$C213+$I213),""))</f>
        <v/>
      </c>
      <c r="E213" s="9">
        <f>IF($A213="","",IF($D$4="",0,$D$4))</f>
        <v/>
      </c>
      <c r="F213" s="16" t="n"/>
      <c r="G213" s="9">
        <f>IF($A213="","",IFERROR(MIN($C213+$I213,$D213+$E213+IF($F213="",0,$F213)),""))</f>
        <v/>
      </c>
      <c r="H213" s="9">
        <f>IF($A213="","",IFERROR(MAX(0,$G213-$I213),""))</f>
        <v/>
      </c>
      <c r="I213" s="9">
        <f>IF($A213="","",IFERROR($C213*$D$3/12,""))</f>
        <v/>
      </c>
      <c r="J213" s="9">
        <f>IF($A213="","",IFERROR(MAX(0,$C213-$H213),""))</f>
        <v/>
      </c>
      <c r="K213" s="14" t="n"/>
    </row>
    <row r="214">
      <c r="A214" s="29">
        <f>IF(OR($B$3="",$D$3="",$F$3="",$H$3="",$B$4="",208&gt;$F$3,$J213="",IFERROR($J213&lt;=0,TRUE)),"",208)</f>
        <v/>
      </c>
      <c r="B214" s="21">
        <f>IF($A214="","",IFERROR(EDATE($B$4,$A214-1),""))</f>
        <v/>
      </c>
      <c r="C214" s="10">
        <f>IF($A214="","",$J213)</f>
        <v/>
      </c>
      <c r="D214" s="10">
        <f>IF($A214="","",IFERROR(MIN($H$3,$C214+$I214),""))</f>
        <v/>
      </c>
      <c r="E214" s="10">
        <f>IF($A214="","",IF($D$4="",0,$D$4))</f>
        <v/>
      </c>
      <c r="F214" s="16" t="n"/>
      <c r="G214" s="10">
        <f>IF($A214="","",IFERROR(MIN($C214+$I214,$D214+$E214+IF($F214="",0,$F214)),""))</f>
        <v/>
      </c>
      <c r="H214" s="10">
        <f>IF($A214="","",IFERROR(MAX(0,$G214-$I214),""))</f>
        <v/>
      </c>
      <c r="I214" s="10">
        <f>IF($A214="","",IFERROR($C214*$D$3/12,""))</f>
        <v/>
      </c>
      <c r="J214" s="10">
        <f>IF($A214="","",IFERROR(MAX(0,$C214-$H214),""))</f>
        <v/>
      </c>
      <c r="K214" s="14" t="n"/>
    </row>
    <row r="215">
      <c r="A215" s="28">
        <f>IF(OR($B$3="",$D$3="",$F$3="",$H$3="",$B$4="",209&gt;$F$3,$J214="",IFERROR($J214&lt;=0,TRUE)),"",209)</f>
        <v/>
      </c>
      <c r="B215" s="19">
        <f>IF($A215="","",IFERROR(EDATE($B$4,$A215-1),""))</f>
        <v/>
      </c>
      <c r="C215" s="9">
        <f>IF($A215="","",$J214)</f>
        <v/>
      </c>
      <c r="D215" s="9">
        <f>IF($A215="","",IFERROR(MIN($H$3,$C215+$I215),""))</f>
        <v/>
      </c>
      <c r="E215" s="9">
        <f>IF($A215="","",IF($D$4="",0,$D$4))</f>
        <v/>
      </c>
      <c r="F215" s="16" t="n"/>
      <c r="G215" s="9">
        <f>IF($A215="","",IFERROR(MIN($C215+$I215,$D215+$E215+IF($F215="",0,$F215)),""))</f>
        <v/>
      </c>
      <c r="H215" s="9">
        <f>IF($A215="","",IFERROR(MAX(0,$G215-$I215),""))</f>
        <v/>
      </c>
      <c r="I215" s="9">
        <f>IF($A215="","",IFERROR($C215*$D$3/12,""))</f>
        <v/>
      </c>
      <c r="J215" s="9">
        <f>IF($A215="","",IFERROR(MAX(0,$C215-$H215),""))</f>
        <v/>
      </c>
      <c r="K215" s="14" t="n"/>
    </row>
    <row r="216">
      <c r="A216" s="29">
        <f>IF(OR($B$3="",$D$3="",$F$3="",$H$3="",$B$4="",210&gt;$F$3,$J215="",IFERROR($J215&lt;=0,TRUE)),"",210)</f>
        <v/>
      </c>
      <c r="B216" s="21">
        <f>IF($A216="","",IFERROR(EDATE($B$4,$A216-1),""))</f>
        <v/>
      </c>
      <c r="C216" s="10">
        <f>IF($A216="","",$J215)</f>
        <v/>
      </c>
      <c r="D216" s="10">
        <f>IF($A216="","",IFERROR(MIN($H$3,$C216+$I216),""))</f>
        <v/>
      </c>
      <c r="E216" s="10">
        <f>IF($A216="","",IF($D$4="",0,$D$4))</f>
        <v/>
      </c>
      <c r="F216" s="16" t="n"/>
      <c r="G216" s="10">
        <f>IF($A216="","",IFERROR(MIN($C216+$I216,$D216+$E216+IF($F216="",0,$F216)),""))</f>
        <v/>
      </c>
      <c r="H216" s="10">
        <f>IF($A216="","",IFERROR(MAX(0,$G216-$I216),""))</f>
        <v/>
      </c>
      <c r="I216" s="10">
        <f>IF($A216="","",IFERROR($C216*$D$3/12,""))</f>
        <v/>
      </c>
      <c r="J216" s="10">
        <f>IF($A216="","",IFERROR(MAX(0,$C216-$H216),""))</f>
        <v/>
      </c>
      <c r="K216" s="14" t="n"/>
    </row>
    <row r="217">
      <c r="A217" s="28">
        <f>IF(OR($B$3="",$D$3="",$F$3="",$H$3="",$B$4="",211&gt;$F$3,$J216="",IFERROR($J216&lt;=0,TRUE)),"",211)</f>
        <v/>
      </c>
      <c r="B217" s="19">
        <f>IF($A217="","",IFERROR(EDATE($B$4,$A217-1),""))</f>
        <v/>
      </c>
      <c r="C217" s="9">
        <f>IF($A217="","",$J216)</f>
        <v/>
      </c>
      <c r="D217" s="9">
        <f>IF($A217="","",IFERROR(MIN($H$3,$C217+$I217),""))</f>
        <v/>
      </c>
      <c r="E217" s="9">
        <f>IF($A217="","",IF($D$4="",0,$D$4))</f>
        <v/>
      </c>
      <c r="F217" s="16" t="n"/>
      <c r="G217" s="9">
        <f>IF($A217="","",IFERROR(MIN($C217+$I217,$D217+$E217+IF($F217="",0,$F217)),""))</f>
        <v/>
      </c>
      <c r="H217" s="9">
        <f>IF($A217="","",IFERROR(MAX(0,$G217-$I217),""))</f>
        <v/>
      </c>
      <c r="I217" s="9">
        <f>IF($A217="","",IFERROR($C217*$D$3/12,""))</f>
        <v/>
      </c>
      <c r="J217" s="9">
        <f>IF($A217="","",IFERROR(MAX(0,$C217-$H217),""))</f>
        <v/>
      </c>
      <c r="K217" s="14" t="n"/>
    </row>
    <row r="218">
      <c r="A218" s="29">
        <f>IF(OR($B$3="",$D$3="",$F$3="",$H$3="",$B$4="",212&gt;$F$3,$J217="",IFERROR($J217&lt;=0,TRUE)),"",212)</f>
        <v/>
      </c>
      <c r="B218" s="21">
        <f>IF($A218="","",IFERROR(EDATE($B$4,$A218-1),""))</f>
        <v/>
      </c>
      <c r="C218" s="10">
        <f>IF($A218="","",$J217)</f>
        <v/>
      </c>
      <c r="D218" s="10">
        <f>IF($A218="","",IFERROR(MIN($H$3,$C218+$I218),""))</f>
        <v/>
      </c>
      <c r="E218" s="10">
        <f>IF($A218="","",IF($D$4="",0,$D$4))</f>
        <v/>
      </c>
      <c r="F218" s="16" t="n"/>
      <c r="G218" s="10">
        <f>IF($A218="","",IFERROR(MIN($C218+$I218,$D218+$E218+IF($F218="",0,$F218)),""))</f>
        <v/>
      </c>
      <c r="H218" s="10">
        <f>IF($A218="","",IFERROR(MAX(0,$G218-$I218),""))</f>
        <v/>
      </c>
      <c r="I218" s="10">
        <f>IF($A218="","",IFERROR($C218*$D$3/12,""))</f>
        <v/>
      </c>
      <c r="J218" s="10">
        <f>IF($A218="","",IFERROR(MAX(0,$C218-$H218),""))</f>
        <v/>
      </c>
      <c r="K218" s="14" t="n"/>
    </row>
    <row r="219">
      <c r="A219" s="28">
        <f>IF(OR($B$3="",$D$3="",$F$3="",$H$3="",$B$4="",213&gt;$F$3,$J218="",IFERROR($J218&lt;=0,TRUE)),"",213)</f>
        <v/>
      </c>
      <c r="B219" s="19">
        <f>IF($A219="","",IFERROR(EDATE($B$4,$A219-1),""))</f>
        <v/>
      </c>
      <c r="C219" s="9">
        <f>IF($A219="","",$J218)</f>
        <v/>
      </c>
      <c r="D219" s="9">
        <f>IF($A219="","",IFERROR(MIN($H$3,$C219+$I219),""))</f>
        <v/>
      </c>
      <c r="E219" s="9">
        <f>IF($A219="","",IF($D$4="",0,$D$4))</f>
        <v/>
      </c>
      <c r="F219" s="16" t="n"/>
      <c r="G219" s="9">
        <f>IF($A219="","",IFERROR(MIN($C219+$I219,$D219+$E219+IF($F219="",0,$F219)),""))</f>
        <v/>
      </c>
      <c r="H219" s="9">
        <f>IF($A219="","",IFERROR(MAX(0,$G219-$I219),""))</f>
        <v/>
      </c>
      <c r="I219" s="9">
        <f>IF($A219="","",IFERROR($C219*$D$3/12,""))</f>
        <v/>
      </c>
      <c r="J219" s="9">
        <f>IF($A219="","",IFERROR(MAX(0,$C219-$H219),""))</f>
        <v/>
      </c>
      <c r="K219" s="14" t="n"/>
    </row>
    <row r="220">
      <c r="A220" s="29">
        <f>IF(OR($B$3="",$D$3="",$F$3="",$H$3="",$B$4="",214&gt;$F$3,$J219="",IFERROR($J219&lt;=0,TRUE)),"",214)</f>
        <v/>
      </c>
      <c r="B220" s="21">
        <f>IF($A220="","",IFERROR(EDATE($B$4,$A220-1),""))</f>
        <v/>
      </c>
      <c r="C220" s="10">
        <f>IF($A220="","",$J219)</f>
        <v/>
      </c>
      <c r="D220" s="10">
        <f>IF($A220="","",IFERROR(MIN($H$3,$C220+$I220),""))</f>
        <v/>
      </c>
      <c r="E220" s="10">
        <f>IF($A220="","",IF($D$4="",0,$D$4))</f>
        <v/>
      </c>
      <c r="F220" s="16" t="n"/>
      <c r="G220" s="10">
        <f>IF($A220="","",IFERROR(MIN($C220+$I220,$D220+$E220+IF($F220="",0,$F220)),""))</f>
        <v/>
      </c>
      <c r="H220" s="10">
        <f>IF($A220="","",IFERROR(MAX(0,$G220-$I220),""))</f>
        <v/>
      </c>
      <c r="I220" s="10">
        <f>IF($A220="","",IFERROR($C220*$D$3/12,""))</f>
        <v/>
      </c>
      <c r="J220" s="10">
        <f>IF($A220="","",IFERROR(MAX(0,$C220-$H220),""))</f>
        <v/>
      </c>
      <c r="K220" s="14" t="n"/>
    </row>
    <row r="221">
      <c r="A221" s="28">
        <f>IF(OR($B$3="",$D$3="",$F$3="",$H$3="",$B$4="",215&gt;$F$3,$J220="",IFERROR($J220&lt;=0,TRUE)),"",215)</f>
        <v/>
      </c>
      <c r="B221" s="19">
        <f>IF($A221="","",IFERROR(EDATE($B$4,$A221-1),""))</f>
        <v/>
      </c>
      <c r="C221" s="9">
        <f>IF($A221="","",$J220)</f>
        <v/>
      </c>
      <c r="D221" s="9">
        <f>IF($A221="","",IFERROR(MIN($H$3,$C221+$I221),""))</f>
        <v/>
      </c>
      <c r="E221" s="9">
        <f>IF($A221="","",IF($D$4="",0,$D$4))</f>
        <v/>
      </c>
      <c r="F221" s="16" t="n"/>
      <c r="G221" s="9">
        <f>IF($A221="","",IFERROR(MIN($C221+$I221,$D221+$E221+IF($F221="",0,$F221)),""))</f>
        <v/>
      </c>
      <c r="H221" s="9">
        <f>IF($A221="","",IFERROR(MAX(0,$G221-$I221),""))</f>
        <v/>
      </c>
      <c r="I221" s="9">
        <f>IF($A221="","",IFERROR($C221*$D$3/12,""))</f>
        <v/>
      </c>
      <c r="J221" s="9">
        <f>IF($A221="","",IFERROR(MAX(0,$C221-$H221),""))</f>
        <v/>
      </c>
      <c r="K221" s="14" t="n"/>
    </row>
    <row r="222">
      <c r="A222" s="29">
        <f>IF(OR($B$3="",$D$3="",$F$3="",$H$3="",$B$4="",216&gt;$F$3,$J221="",IFERROR($J221&lt;=0,TRUE)),"",216)</f>
        <v/>
      </c>
      <c r="B222" s="21">
        <f>IF($A222="","",IFERROR(EDATE($B$4,$A222-1),""))</f>
        <v/>
      </c>
      <c r="C222" s="10">
        <f>IF($A222="","",$J221)</f>
        <v/>
      </c>
      <c r="D222" s="10">
        <f>IF($A222="","",IFERROR(MIN($H$3,$C222+$I222),""))</f>
        <v/>
      </c>
      <c r="E222" s="10">
        <f>IF($A222="","",IF($D$4="",0,$D$4))</f>
        <v/>
      </c>
      <c r="F222" s="16" t="n"/>
      <c r="G222" s="10">
        <f>IF($A222="","",IFERROR(MIN($C222+$I222,$D222+$E222+IF($F222="",0,$F222)),""))</f>
        <v/>
      </c>
      <c r="H222" s="10">
        <f>IF($A222="","",IFERROR(MAX(0,$G222-$I222),""))</f>
        <v/>
      </c>
      <c r="I222" s="10">
        <f>IF($A222="","",IFERROR($C222*$D$3/12,""))</f>
        <v/>
      </c>
      <c r="J222" s="10">
        <f>IF($A222="","",IFERROR(MAX(0,$C222-$H222),""))</f>
        <v/>
      </c>
      <c r="K222" s="14" t="n"/>
    </row>
    <row r="223">
      <c r="A223" s="28">
        <f>IF(OR($B$3="",$D$3="",$F$3="",$H$3="",$B$4="",217&gt;$F$3,$J222="",IFERROR($J222&lt;=0,TRUE)),"",217)</f>
        <v/>
      </c>
      <c r="B223" s="19">
        <f>IF($A223="","",IFERROR(EDATE($B$4,$A223-1),""))</f>
        <v/>
      </c>
      <c r="C223" s="9">
        <f>IF($A223="","",$J222)</f>
        <v/>
      </c>
      <c r="D223" s="9">
        <f>IF($A223="","",IFERROR(MIN($H$3,$C223+$I223),""))</f>
        <v/>
      </c>
      <c r="E223" s="9">
        <f>IF($A223="","",IF($D$4="",0,$D$4))</f>
        <v/>
      </c>
      <c r="F223" s="16" t="n"/>
      <c r="G223" s="9">
        <f>IF($A223="","",IFERROR(MIN($C223+$I223,$D223+$E223+IF($F223="",0,$F223)),""))</f>
        <v/>
      </c>
      <c r="H223" s="9">
        <f>IF($A223="","",IFERROR(MAX(0,$G223-$I223),""))</f>
        <v/>
      </c>
      <c r="I223" s="9">
        <f>IF($A223="","",IFERROR($C223*$D$3/12,""))</f>
        <v/>
      </c>
      <c r="J223" s="9">
        <f>IF($A223="","",IFERROR(MAX(0,$C223-$H223),""))</f>
        <v/>
      </c>
      <c r="K223" s="14" t="n"/>
    </row>
    <row r="224">
      <c r="A224" s="29">
        <f>IF(OR($B$3="",$D$3="",$F$3="",$H$3="",$B$4="",218&gt;$F$3,$J223="",IFERROR($J223&lt;=0,TRUE)),"",218)</f>
        <v/>
      </c>
      <c r="B224" s="21">
        <f>IF($A224="","",IFERROR(EDATE($B$4,$A224-1),""))</f>
        <v/>
      </c>
      <c r="C224" s="10">
        <f>IF($A224="","",$J223)</f>
        <v/>
      </c>
      <c r="D224" s="10">
        <f>IF($A224="","",IFERROR(MIN($H$3,$C224+$I224),""))</f>
        <v/>
      </c>
      <c r="E224" s="10">
        <f>IF($A224="","",IF($D$4="",0,$D$4))</f>
        <v/>
      </c>
      <c r="F224" s="16" t="n"/>
      <c r="G224" s="10">
        <f>IF($A224="","",IFERROR(MIN($C224+$I224,$D224+$E224+IF($F224="",0,$F224)),""))</f>
        <v/>
      </c>
      <c r="H224" s="10">
        <f>IF($A224="","",IFERROR(MAX(0,$G224-$I224),""))</f>
        <v/>
      </c>
      <c r="I224" s="10">
        <f>IF($A224="","",IFERROR($C224*$D$3/12,""))</f>
        <v/>
      </c>
      <c r="J224" s="10">
        <f>IF($A224="","",IFERROR(MAX(0,$C224-$H224),""))</f>
        <v/>
      </c>
      <c r="K224" s="14" t="n"/>
    </row>
    <row r="225">
      <c r="A225" s="28">
        <f>IF(OR($B$3="",$D$3="",$F$3="",$H$3="",$B$4="",219&gt;$F$3,$J224="",IFERROR($J224&lt;=0,TRUE)),"",219)</f>
        <v/>
      </c>
      <c r="B225" s="19">
        <f>IF($A225="","",IFERROR(EDATE($B$4,$A225-1),""))</f>
        <v/>
      </c>
      <c r="C225" s="9">
        <f>IF($A225="","",$J224)</f>
        <v/>
      </c>
      <c r="D225" s="9">
        <f>IF($A225="","",IFERROR(MIN($H$3,$C225+$I225),""))</f>
        <v/>
      </c>
      <c r="E225" s="9">
        <f>IF($A225="","",IF($D$4="",0,$D$4))</f>
        <v/>
      </c>
      <c r="F225" s="16" t="n"/>
      <c r="G225" s="9">
        <f>IF($A225="","",IFERROR(MIN($C225+$I225,$D225+$E225+IF($F225="",0,$F225)),""))</f>
        <v/>
      </c>
      <c r="H225" s="9">
        <f>IF($A225="","",IFERROR(MAX(0,$G225-$I225),""))</f>
        <v/>
      </c>
      <c r="I225" s="9">
        <f>IF($A225="","",IFERROR($C225*$D$3/12,""))</f>
        <v/>
      </c>
      <c r="J225" s="9">
        <f>IF($A225="","",IFERROR(MAX(0,$C225-$H225),""))</f>
        <v/>
      </c>
      <c r="K225" s="14" t="n"/>
    </row>
    <row r="226">
      <c r="A226" s="29">
        <f>IF(OR($B$3="",$D$3="",$F$3="",$H$3="",$B$4="",220&gt;$F$3,$J225="",IFERROR($J225&lt;=0,TRUE)),"",220)</f>
        <v/>
      </c>
      <c r="B226" s="21">
        <f>IF($A226="","",IFERROR(EDATE($B$4,$A226-1),""))</f>
        <v/>
      </c>
      <c r="C226" s="10">
        <f>IF($A226="","",$J225)</f>
        <v/>
      </c>
      <c r="D226" s="10">
        <f>IF($A226="","",IFERROR(MIN($H$3,$C226+$I226),""))</f>
        <v/>
      </c>
      <c r="E226" s="10">
        <f>IF($A226="","",IF($D$4="",0,$D$4))</f>
        <v/>
      </c>
      <c r="F226" s="16" t="n"/>
      <c r="G226" s="10">
        <f>IF($A226="","",IFERROR(MIN($C226+$I226,$D226+$E226+IF($F226="",0,$F226)),""))</f>
        <v/>
      </c>
      <c r="H226" s="10">
        <f>IF($A226="","",IFERROR(MAX(0,$G226-$I226),""))</f>
        <v/>
      </c>
      <c r="I226" s="10">
        <f>IF($A226="","",IFERROR($C226*$D$3/12,""))</f>
        <v/>
      </c>
      <c r="J226" s="10">
        <f>IF($A226="","",IFERROR(MAX(0,$C226-$H226),""))</f>
        <v/>
      </c>
      <c r="K226" s="14" t="n"/>
    </row>
    <row r="227">
      <c r="A227" s="28">
        <f>IF(OR($B$3="",$D$3="",$F$3="",$H$3="",$B$4="",221&gt;$F$3,$J226="",IFERROR($J226&lt;=0,TRUE)),"",221)</f>
        <v/>
      </c>
      <c r="B227" s="19">
        <f>IF($A227="","",IFERROR(EDATE($B$4,$A227-1),""))</f>
        <v/>
      </c>
      <c r="C227" s="9">
        <f>IF($A227="","",$J226)</f>
        <v/>
      </c>
      <c r="D227" s="9">
        <f>IF($A227="","",IFERROR(MIN($H$3,$C227+$I227),""))</f>
        <v/>
      </c>
      <c r="E227" s="9">
        <f>IF($A227="","",IF($D$4="",0,$D$4))</f>
        <v/>
      </c>
      <c r="F227" s="16" t="n"/>
      <c r="G227" s="9">
        <f>IF($A227="","",IFERROR(MIN($C227+$I227,$D227+$E227+IF($F227="",0,$F227)),""))</f>
        <v/>
      </c>
      <c r="H227" s="9">
        <f>IF($A227="","",IFERROR(MAX(0,$G227-$I227),""))</f>
        <v/>
      </c>
      <c r="I227" s="9">
        <f>IF($A227="","",IFERROR($C227*$D$3/12,""))</f>
        <v/>
      </c>
      <c r="J227" s="9">
        <f>IF($A227="","",IFERROR(MAX(0,$C227-$H227),""))</f>
        <v/>
      </c>
      <c r="K227" s="14" t="n"/>
    </row>
    <row r="228">
      <c r="A228" s="29">
        <f>IF(OR($B$3="",$D$3="",$F$3="",$H$3="",$B$4="",222&gt;$F$3,$J227="",IFERROR($J227&lt;=0,TRUE)),"",222)</f>
        <v/>
      </c>
      <c r="B228" s="21">
        <f>IF($A228="","",IFERROR(EDATE($B$4,$A228-1),""))</f>
        <v/>
      </c>
      <c r="C228" s="10">
        <f>IF($A228="","",$J227)</f>
        <v/>
      </c>
      <c r="D228" s="10">
        <f>IF($A228="","",IFERROR(MIN($H$3,$C228+$I228),""))</f>
        <v/>
      </c>
      <c r="E228" s="10">
        <f>IF($A228="","",IF($D$4="",0,$D$4))</f>
        <v/>
      </c>
      <c r="F228" s="16" t="n"/>
      <c r="G228" s="10">
        <f>IF($A228="","",IFERROR(MIN($C228+$I228,$D228+$E228+IF($F228="",0,$F228)),""))</f>
        <v/>
      </c>
      <c r="H228" s="10">
        <f>IF($A228="","",IFERROR(MAX(0,$G228-$I228),""))</f>
        <v/>
      </c>
      <c r="I228" s="10">
        <f>IF($A228="","",IFERROR($C228*$D$3/12,""))</f>
        <v/>
      </c>
      <c r="J228" s="10">
        <f>IF($A228="","",IFERROR(MAX(0,$C228-$H228),""))</f>
        <v/>
      </c>
      <c r="K228" s="14" t="n"/>
    </row>
    <row r="229">
      <c r="A229" s="28">
        <f>IF(OR($B$3="",$D$3="",$F$3="",$H$3="",$B$4="",223&gt;$F$3,$J228="",IFERROR($J228&lt;=0,TRUE)),"",223)</f>
        <v/>
      </c>
      <c r="B229" s="19">
        <f>IF($A229="","",IFERROR(EDATE($B$4,$A229-1),""))</f>
        <v/>
      </c>
      <c r="C229" s="9">
        <f>IF($A229="","",$J228)</f>
        <v/>
      </c>
      <c r="D229" s="9">
        <f>IF($A229="","",IFERROR(MIN($H$3,$C229+$I229),""))</f>
        <v/>
      </c>
      <c r="E229" s="9">
        <f>IF($A229="","",IF($D$4="",0,$D$4))</f>
        <v/>
      </c>
      <c r="F229" s="16" t="n"/>
      <c r="G229" s="9">
        <f>IF($A229="","",IFERROR(MIN($C229+$I229,$D229+$E229+IF($F229="",0,$F229)),""))</f>
        <v/>
      </c>
      <c r="H229" s="9">
        <f>IF($A229="","",IFERROR(MAX(0,$G229-$I229),""))</f>
        <v/>
      </c>
      <c r="I229" s="9">
        <f>IF($A229="","",IFERROR($C229*$D$3/12,""))</f>
        <v/>
      </c>
      <c r="J229" s="9">
        <f>IF($A229="","",IFERROR(MAX(0,$C229-$H229),""))</f>
        <v/>
      </c>
      <c r="K229" s="14" t="n"/>
    </row>
    <row r="230">
      <c r="A230" s="29">
        <f>IF(OR($B$3="",$D$3="",$F$3="",$H$3="",$B$4="",224&gt;$F$3,$J229="",IFERROR($J229&lt;=0,TRUE)),"",224)</f>
        <v/>
      </c>
      <c r="B230" s="21">
        <f>IF($A230="","",IFERROR(EDATE($B$4,$A230-1),""))</f>
        <v/>
      </c>
      <c r="C230" s="10">
        <f>IF($A230="","",$J229)</f>
        <v/>
      </c>
      <c r="D230" s="10">
        <f>IF($A230="","",IFERROR(MIN($H$3,$C230+$I230),""))</f>
        <v/>
      </c>
      <c r="E230" s="10">
        <f>IF($A230="","",IF($D$4="",0,$D$4))</f>
        <v/>
      </c>
      <c r="F230" s="16" t="n"/>
      <c r="G230" s="10">
        <f>IF($A230="","",IFERROR(MIN($C230+$I230,$D230+$E230+IF($F230="",0,$F230)),""))</f>
        <v/>
      </c>
      <c r="H230" s="10">
        <f>IF($A230="","",IFERROR(MAX(0,$G230-$I230),""))</f>
        <v/>
      </c>
      <c r="I230" s="10">
        <f>IF($A230="","",IFERROR($C230*$D$3/12,""))</f>
        <v/>
      </c>
      <c r="J230" s="10">
        <f>IF($A230="","",IFERROR(MAX(0,$C230-$H230),""))</f>
        <v/>
      </c>
      <c r="K230" s="14" t="n"/>
    </row>
    <row r="231">
      <c r="A231" s="28">
        <f>IF(OR($B$3="",$D$3="",$F$3="",$H$3="",$B$4="",225&gt;$F$3,$J230="",IFERROR($J230&lt;=0,TRUE)),"",225)</f>
        <v/>
      </c>
      <c r="B231" s="19">
        <f>IF($A231="","",IFERROR(EDATE($B$4,$A231-1),""))</f>
        <v/>
      </c>
      <c r="C231" s="9">
        <f>IF($A231="","",$J230)</f>
        <v/>
      </c>
      <c r="D231" s="9">
        <f>IF($A231="","",IFERROR(MIN($H$3,$C231+$I231),""))</f>
        <v/>
      </c>
      <c r="E231" s="9">
        <f>IF($A231="","",IF($D$4="",0,$D$4))</f>
        <v/>
      </c>
      <c r="F231" s="16" t="n"/>
      <c r="G231" s="9">
        <f>IF($A231="","",IFERROR(MIN($C231+$I231,$D231+$E231+IF($F231="",0,$F231)),""))</f>
        <v/>
      </c>
      <c r="H231" s="9">
        <f>IF($A231="","",IFERROR(MAX(0,$G231-$I231),""))</f>
        <v/>
      </c>
      <c r="I231" s="9">
        <f>IF($A231="","",IFERROR($C231*$D$3/12,""))</f>
        <v/>
      </c>
      <c r="J231" s="9">
        <f>IF($A231="","",IFERROR(MAX(0,$C231-$H231),""))</f>
        <v/>
      </c>
      <c r="K231" s="14" t="n"/>
    </row>
    <row r="232">
      <c r="A232" s="29">
        <f>IF(OR($B$3="",$D$3="",$F$3="",$H$3="",$B$4="",226&gt;$F$3,$J231="",IFERROR($J231&lt;=0,TRUE)),"",226)</f>
        <v/>
      </c>
      <c r="B232" s="21">
        <f>IF($A232="","",IFERROR(EDATE($B$4,$A232-1),""))</f>
        <v/>
      </c>
      <c r="C232" s="10">
        <f>IF($A232="","",$J231)</f>
        <v/>
      </c>
      <c r="D232" s="10">
        <f>IF($A232="","",IFERROR(MIN($H$3,$C232+$I232),""))</f>
        <v/>
      </c>
      <c r="E232" s="10">
        <f>IF($A232="","",IF($D$4="",0,$D$4))</f>
        <v/>
      </c>
      <c r="F232" s="16" t="n"/>
      <c r="G232" s="10">
        <f>IF($A232="","",IFERROR(MIN($C232+$I232,$D232+$E232+IF($F232="",0,$F232)),""))</f>
        <v/>
      </c>
      <c r="H232" s="10">
        <f>IF($A232="","",IFERROR(MAX(0,$G232-$I232),""))</f>
        <v/>
      </c>
      <c r="I232" s="10">
        <f>IF($A232="","",IFERROR($C232*$D$3/12,""))</f>
        <v/>
      </c>
      <c r="J232" s="10">
        <f>IF($A232="","",IFERROR(MAX(0,$C232-$H232),""))</f>
        <v/>
      </c>
      <c r="K232" s="14" t="n"/>
    </row>
    <row r="233">
      <c r="A233" s="28">
        <f>IF(OR($B$3="",$D$3="",$F$3="",$H$3="",$B$4="",227&gt;$F$3,$J232="",IFERROR($J232&lt;=0,TRUE)),"",227)</f>
        <v/>
      </c>
      <c r="B233" s="19">
        <f>IF($A233="","",IFERROR(EDATE($B$4,$A233-1),""))</f>
        <v/>
      </c>
      <c r="C233" s="9">
        <f>IF($A233="","",$J232)</f>
        <v/>
      </c>
      <c r="D233" s="9">
        <f>IF($A233="","",IFERROR(MIN($H$3,$C233+$I233),""))</f>
        <v/>
      </c>
      <c r="E233" s="9">
        <f>IF($A233="","",IF($D$4="",0,$D$4))</f>
        <v/>
      </c>
      <c r="F233" s="16" t="n"/>
      <c r="G233" s="9">
        <f>IF($A233="","",IFERROR(MIN($C233+$I233,$D233+$E233+IF($F233="",0,$F233)),""))</f>
        <v/>
      </c>
      <c r="H233" s="9">
        <f>IF($A233="","",IFERROR(MAX(0,$G233-$I233),""))</f>
        <v/>
      </c>
      <c r="I233" s="9">
        <f>IF($A233="","",IFERROR($C233*$D$3/12,""))</f>
        <v/>
      </c>
      <c r="J233" s="9">
        <f>IF($A233="","",IFERROR(MAX(0,$C233-$H233),""))</f>
        <v/>
      </c>
      <c r="K233" s="14" t="n"/>
    </row>
    <row r="234">
      <c r="A234" s="29">
        <f>IF(OR($B$3="",$D$3="",$F$3="",$H$3="",$B$4="",228&gt;$F$3,$J233="",IFERROR($J233&lt;=0,TRUE)),"",228)</f>
        <v/>
      </c>
      <c r="B234" s="21">
        <f>IF($A234="","",IFERROR(EDATE($B$4,$A234-1),""))</f>
        <v/>
      </c>
      <c r="C234" s="10">
        <f>IF($A234="","",$J233)</f>
        <v/>
      </c>
      <c r="D234" s="10">
        <f>IF($A234="","",IFERROR(MIN($H$3,$C234+$I234),""))</f>
        <v/>
      </c>
      <c r="E234" s="10">
        <f>IF($A234="","",IF($D$4="",0,$D$4))</f>
        <v/>
      </c>
      <c r="F234" s="16" t="n"/>
      <c r="G234" s="10">
        <f>IF($A234="","",IFERROR(MIN($C234+$I234,$D234+$E234+IF($F234="",0,$F234)),""))</f>
        <v/>
      </c>
      <c r="H234" s="10">
        <f>IF($A234="","",IFERROR(MAX(0,$G234-$I234),""))</f>
        <v/>
      </c>
      <c r="I234" s="10">
        <f>IF($A234="","",IFERROR($C234*$D$3/12,""))</f>
        <v/>
      </c>
      <c r="J234" s="10">
        <f>IF($A234="","",IFERROR(MAX(0,$C234-$H234),""))</f>
        <v/>
      </c>
      <c r="K234" s="14" t="n"/>
    </row>
    <row r="235">
      <c r="A235" s="28">
        <f>IF(OR($B$3="",$D$3="",$F$3="",$H$3="",$B$4="",229&gt;$F$3,$J234="",IFERROR($J234&lt;=0,TRUE)),"",229)</f>
        <v/>
      </c>
      <c r="B235" s="19">
        <f>IF($A235="","",IFERROR(EDATE($B$4,$A235-1),""))</f>
        <v/>
      </c>
      <c r="C235" s="9">
        <f>IF($A235="","",$J234)</f>
        <v/>
      </c>
      <c r="D235" s="9">
        <f>IF($A235="","",IFERROR(MIN($H$3,$C235+$I235),""))</f>
        <v/>
      </c>
      <c r="E235" s="9">
        <f>IF($A235="","",IF($D$4="",0,$D$4))</f>
        <v/>
      </c>
      <c r="F235" s="16" t="n"/>
      <c r="G235" s="9">
        <f>IF($A235="","",IFERROR(MIN($C235+$I235,$D235+$E235+IF($F235="",0,$F235)),""))</f>
        <v/>
      </c>
      <c r="H235" s="9">
        <f>IF($A235="","",IFERROR(MAX(0,$G235-$I235),""))</f>
        <v/>
      </c>
      <c r="I235" s="9">
        <f>IF($A235="","",IFERROR($C235*$D$3/12,""))</f>
        <v/>
      </c>
      <c r="J235" s="9">
        <f>IF($A235="","",IFERROR(MAX(0,$C235-$H235),""))</f>
        <v/>
      </c>
      <c r="K235" s="14" t="n"/>
    </row>
    <row r="236">
      <c r="A236" s="29">
        <f>IF(OR($B$3="",$D$3="",$F$3="",$H$3="",$B$4="",230&gt;$F$3,$J235="",IFERROR($J235&lt;=0,TRUE)),"",230)</f>
        <v/>
      </c>
      <c r="B236" s="21">
        <f>IF($A236="","",IFERROR(EDATE($B$4,$A236-1),""))</f>
        <v/>
      </c>
      <c r="C236" s="10">
        <f>IF($A236="","",$J235)</f>
        <v/>
      </c>
      <c r="D236" s="10">
        <f>IF($A236="","",IFERROR(MIN($H$3,$C236+$I236),""))</f>
        <v/>
      </c>
      <c r="E236" s="10">
        <f>IF($A236="","",IF($D$4="",0,$D$4))</f>
        <v/>
      </c>
      <c r="F236" s="16" t="n"/>
      <c r="G236" s="10">
        <f>IF($A236="","",IFERROR(MIN($C236+$I236,$D236+$E236+IF($F236="",0,$F236)),""))</f>
        <v/>
      </c>
      <c r="H236" s="10">
        <f>IF($A236="","",IFERROR(MAX(0,$G236-$I236),""))</f>
        <v/>
      </c>
      <c r="I236" s="10">
        <f>IF($A236="","",IFERROR($C236*$D$3/12,""))</f>
        <v/>
      </c>
      <c r="J236" s="10">
        <f>IF($A236="","",IFERROR(MAX(0,$C236-$H236),""))</f>
        <v/>
      </c>
      <c r="K236" s="14" t="n"/>
    </row>
    <row r="237">
      <c r="A237" s="28">
        <f>IF(OR($B$3="",$D$3="",$F$3="",$H$3="",$B$4="",231&gt;$F$3,$J236="",IFERROR($J236&lt;=0,TRUE)),"",231)</f>
        <v/>
      </c>
      <c r="B237" s="19">
        <f>IF($A237="","",IFERROR(EDATE($B$4,$A237-1),""))</f>
        <v/>
      </c>
      <c r="C237" s="9">
        <f>IF($A237="","",$J236)</f>
        <v/>
      </c>
      <c r="D237" s="9">
        <f>IF($A237="","",IFERROR(MIN($H$3,$C237+$I237),""))</f>
        <v/>
      </c>
      <c r="E237" s="9">
        <f>IF($A237="","",IF($D$4="",0,$D$4))</f>
        <v/>
      </c>
      <c r="F237" s="16" t="n"/>
      <c r="G237" s="9">
        <f>IF($A237="","",IFERROR(MIN($C237+$I237,$D237+$E237+IF($F237="",0,$F237)),""))</f>
        <v/>
      </c>
      <c r="H237" s="9">
        <f>IF($A237="","",IFERROR(MAX(0,$G237-$I237),""))</f>
        <v/>
      </c>
      <c r="I237" s="9">
        <f>IF($A237="","",IFERROR($C237*$D$3/12,""))</f>
        <v/>
      </c>
      <c r="J237" s="9">
        <f>IF($A237="","",IFERROR(MAX(0,$C237-$H237),""))</f>
        <v/>
      </c>
      <c r="K237" s="14" t="n"/>
    </row>
    <row r="238">
      <c r="A238" s="29">
        <f>IF(OR($B$3="",$D$3="",$F$3="",$H$3="",$B$4="",232&gt;$F$3,$J237="",IFERROR($J237&lt;=0,TRUE)),"",232)</f>
        <v/>
      </c>
      <c r="B238" s="21">
        <f>IF($A238="","",IFERROR(EDATE($B$4,$A238-1),""))</f>
        <v/>
      </c>
      <c r="C238" s="10">
        <f>IF($A238="","",$J237)</f>
        <v/>
      </c>
      <c r="D238" s="10">
        <f>IF($A238="","",IFERROR(MIN($H$3,$C238+$I238),""))</f>
        <v/>
      </c>
      <c r="E238" s="10">
        <f>IF($A238="","",IF($D$4="",0,$D$4))</f>
        <v/>
      </c>
      <c r="F238" s="16" t="n"/>
      <c r="G238" s="10">
        <f>IF($A238="","",IFERROR(MIN($C238+$I238,$D238+$E238+IF($F238="",0,$F238)),""))</f>
        <v/>
      </c>
      <c r="H238" s="10">
        <f>IF($A238="","",IFERROR(MAX(0,$G238-$I238),""))</f>
        <v/>
      </c>
      <c r="I238" s="10">
        <f>IF($A238="","",IFERROR($C238*$D$3/12,""))</f>
        <v/>
      </c>
      <c r="J238" s="10">
        <f>IF($A238="","",IFERROR(MAX(0,$C238-$H238),""))</f>
        <v/>
      </c>
      <c r="K238" s="14" t="n"/>
    </row>
    <row r="239">
      <c r="A239" s="28">
        <f>IF(OR($B$3="",$D$3="",$F$3="",$H$3="",$B$4="",233&gt;$F$3,$J238="",IFERROR($J238&lt;=0,TRUE)),"",233)</f>
        <v/>
      </c>
      <c r="B239" s="19">
        <f>IF($A239="","",IFERROR(EDATE($B$4,$A239-1),""))</f>
        <v/>
      </c>
      <c r="C239" s="9">
        <f>IF($A239="","",$J238)</f>
        <v/>
      </c>
      <c r="D239" s="9">
        <f>IF($A239="","",IFERROR(MIN($H$3,$C239+$I239),""))</f>
        <v/>
      </c>
      <c r="E239" s="9">
        <f>IF($A239="","",IF($D$4="",0,$D$4))</f>
        <v/>
      </c>
      <c r="F239" s="16" t="n"/>
      <c r="G239" s="9">
        <f>IF($A239="","",IFERROR(MIN($C239+$I239,$D239+$E239+IF($F239="",0,$F239)),""))</f>
        <v/>
      </c>
      <c r="H239" s="9">
        <f>IF($A239="","",IFERROR(MAX(0,$G239-$I239),""))</f>
        <v/>
      </c>
      <c r="I239" s="9">
        <f>IF($A239="","",IFERROR($C239*$D$3/12,""))</f>
        <v/>
      </c>
      <c r="J239" s="9">
        <f>IF($A239="","",IFERROR(MAX(0,$C239-$H239),""))</f>
        <v/>
      </c>
      <c r="K239" s="14" t="n"/>
    </row>
    <row r="240">
      <c r="A240" s="29">
        <f>IF(OR($B$3="",$D$3="",$F$3="",$H$3="",$B$4="",234&gt;$F$3,$J239="",IFERROR($J239&lt;=0,TRUE)),"",234)</f>
        <v/>
      </c>
      <c r="B240" s="21">
        <f>IF($A240="","",IFERROR(EDATE($B$4,$A240-1),""))</f>
        <v/>
      </c>
      <c r="C240" s="10">
        <f>IF($A240="","",$J239)</f>
        <v/>
      </c>
      <c r="D240" s="10">
        <f>IF($A240="","",IFERROR(MIN($H$3,$C240+$I240),""))</f>
        <v/>
      </c>
      <c r="E240" s="10">
        <f>IF($A240="","",IF($D$4="",0,$D$4))</f>
        <v/>
      </c>
      <c r="F240" s="16" t="n"/>
      <c r="G240" s="10">
        <f>IF($A240="","",IFERROR(MIN($C240+$I240,$D240+$E240+IF($F240="",0,$F240)),""))</f>
        <v/>
      </c>
      <c r="H240" s="10">
        <f>IF($A240="","",IFERROR(MAX(0,$G240-$I240),""))</f>
        <v/>
      </c>
      <c r="I240" s="10">
        <f>IF($A240="","",IFERROR($C240*$D$3/12,""))</f>
        <v/>
      </c>
      <c r="J240" s="10">
        <f>IF($A240="","",IFERROR(MAX(0,$C240-$H240),""))</f>
        <v/>
      </c>
      <c r="K240" s="14" t="n"/>
    </row>
    <row r="241">
      <c r="A241" s="28">
        <f>IF(OR($B$3="",$D$3="",$F$3="",$H$3="",$B$4="",235&gt;$F$3,$J240="",IFERROR($J240&lt;=0,TRUE)),"",235)</f>
        <v/>
      </c>
      <c r="B241" s="19">
        <f>IF($A241="","",IFERROR(EDATE($B$4,$A241-1),""))</f>
        <v/>
      </c>
      <c r="C241" s="9">
        <f>IF($A241="","",$J240)</f>
        <v/>
      </c>
      <c r="D241" s="9">
        <f>IF($A241="","",IFERROR(MIN($H$3,$C241+$I241),""))</f>
        <v/>
      </c>
      <c r="E241" s="9">
        <f>IF($A241="","",IF($D$4="",0,$D$4))</f>
        <v/>
      </c>
      <c r="F241" s="16" t="n"/>
      <c r="G241" s="9">
        <f>IF($A241="","",IFERROR(MIN($C241+$I241,$D241+$E241+IF($F241="",0,$F241)),""))</f>
        <v/>
      </c>
      <c r="H241" s="9">
        <f>IF($A241="","",IFERROR(MAX(0,$G241-$I241),""))</f>
        <v/>
      </c>
      <c r="I241" s="9">
        <f>IF($A241="","",IFERROR($C241*$D$3/12,""))</f>
        <v/>
      </c>
      <c r="J241" s="9">
        <f>IF($A241="","",IFERROR(MAX(0,$C241-$H241),""))</f>
        <v/>
      </c>
      <c r="K241" s="14" t="n"/>
    </row>
    <row r="242">
      <c r="A242" s="29">
        <f>IF(OR($B$3="",$D$3="",$F$3="",$H$3="",$B$4="",236&gt;$F$3,$J241="",IFERROR($J241&lt;=0,TRUE)),"",236)</f>
        <v/>
      </c>
      <c r="B242" s="21">
        <f>IF($A242="","",IFERROR(EDATE($B$4,$A242-1),""))</f>
        <v/>
      </c>
      <c r="C242" s="10">
        <f>IF($A242="","",$J241)</f>
        <v/>
      </c>
      <c r="D242" s="10">
        <f>IF($A242="","",IFERROR(MIN($H$3,$C242+$I242),""))</f>
        <v/>
      </c>
      <c r="E242" s="10">
        <f>IF($A242="","",IF($D$4="",0,$D$4))</f>
        <v/>
      </c>
      <c r="F242" s="16" t="n"/>
      <c r="G242" s="10">
        <f>IF($A242="","",IFERROR(MIN($C242+$I242,$D242+$E242+IF($F242="",0,$F242)),""))</f>
        <v/>
      </c>
      <c r="H242" s="10">
        <f>IF($A242="","",IFERROR(MAX(0,$G242-$I242),""))</f>
        <v/>
      </c>
      <c r="I242" s="10">
        <f>IF($A242="","",IFERROR($C242*$D$3/12,""))</f>
        <v/>
      </c>
      <c r="J242" s="10">
        <f>IF($A242="","",IFERROR(MAX(0,$C242-$H242),""))</f>
        <v/>
      </c>
      <c r="K242" s="14" t="n"/>
    </row>
    <row r="243">
      <c r="A243" s="28">
        <f>IF(OR($B$3="",$D$3="",$F$3="",$H$3="",$B$4="",237&gt;$F$3,$J242="",IFERROR($J242&lt;=0,TRUE)),"",237)</f>
        <v/>
      </c>
      <c r="B243" s="19">
        <f>IF($A243="","",IFERROR(EDATE($B$4,$A243-1),""))</f>
        <v/>
      </c>
      <c r="C243" s="9">
        <f>IF($A243="","",$J242)</f>
        <v/>
      </c>
      <c r="D243" s="9">
        <f>IF($A243="","",IFERROR(MIN($H$3,$C243+$I243),""))</f>
        <v/>
      </c>
      <c r="E243" s="9">
        <f>IF($A243="","",IF($D$4="",0,$D$4))</f>
        <v/>
      </c>
      <c r="F243" s="16" t="n"/>
      <c r="G243" s="9">
        <f>IF($A243="","",IFERROR(MIN($C243+$I243,$D243+$E243+IF($F243="",0,$F243)),""))</f>
        <v/>
      </c>
      <c r="H243" s="9">
        <f>IF($A243="","",IFERROR(MAX(0,$G243-$I243),""))</f>
        <v/>
      </c>
      <c r="I243" s="9">
        <f>IF($A243="","",IFERROR($C243*$D$3/12,""))</f>
        <v/>
      </c>
      <c r="J243" s="9">
        <f>IF($A243="","",IFERROR(MAX(0,$C243-$H243),""))</f>
        <v/>
      </c>
      <c r="K243" s="14" t="n"/>
    </row>
    <row r="244">
      <c r="A244" s="29">
        <f>IF(OR($B$3="",$D$3="",$F$3="",$H$3="",$B$4="",238&gt;$F$3,$J243="",IFERROR($J243&lt;=0,TRUE)),"",238)</f>
        <v/>
      </c>
      <c r="B244" s="21">
        <f>IF($A244="","",IFERROR(EDATE($B$4,$A244-1),""))</f>
        <v/>
      </c>
      <c r="C244" s="10">
        <f>IF($A244="","",$J243)</f>
        <v/>
      </c>
      <c r="D244" s="10">
        <f>IF($A244="","",IFERROR(MIN($H$3,$C244+$I244),""))</f>
        <v/>
      </c>
      <c r="E244" s="10">
        <f>IF($A244="","",IF($D$4="",0,$D$4))</f>
        <v/>
      </c>
      <c r="F244" s="16" t="n"/>
      <c r="G244" s="10">
        <f>IF($A244="","",IFERROR(MIN($C244+$I244,$D244+$E244+IF($F244="",0,$F244)),""))</f>
        <v/>
      </c>
      <c r="H244" s="10">
        <f>IF($A244="","",IFERROR(MAX(0,$G244-$I244),""))</f>
        <v/>
      </c>
      <c r="I244" s="10">
        <f>IF($A244="","",IFERROR($C244*$D$3/12,""))</f>
        <v/>
      </c>
      <c r="J244" s="10">
        <f>IF($A244="","",IFERROR(MAX(0,$C244-$H244),""))</f>
        <v/>
      </c>
      <c r="K244" s="14" t="n"/>
    </row>
    <row r="245">
      <c r="A245" s="28">
        <f>IF(OR($B$3="",$D$3="",$F$3="",$H$3="",$B$4="",239&gt;$F$3,$J244="",IFERROR($J244&lt;=0,TRUE)),"",239)</f>
        <v/>
      </c>
      <c r="B245" s="19">
        <f>IF($A245="","",IFERROR(EDATE($B$4,$A245-1),""))</f>
        <v/>
      </c>
      <c r="C245" s="9">
        <f>IF($A245="","",$J244)</f>
        <v/>
      </c>
      <c r="D245" s="9">
        <f>IF($A245="","",IFERROR(MIN($H$3,$C245+$I245),""))</f>
        <v/>
      </c>
      <c r="E245" s="9">
        <f>IF($A245="","",IF($D$4="",0,$D$4))</f>
        <v/>
      </c>
      <c r="F245" s="16" t="n"/>
      <c r="G245" s="9">
        <f>IF($A245="","",IFERROR(MIN($C245+$I245,$D245+$E245+IF($F245="",0,$F245)),""))</f>
        <v/>
      </c>
      <c r="H245" s="9">
        <f>IF($A245="","",IFERROR(MAX(0,$G245-$I245),""))</f>
        <v/>
      </c>
      <c r="I245" s="9">
        <f>IF($A245="","",IFERROR($C245*$D$3/12,""))</f>
        <v/>
      </c>
      <c r="J245" s="9">
        <f>IF($A245="","",IFERROR(MAX(0,$C245-$H245),""))</f>
        <v/>
      </c>
      <c r="K245" s="14" t="n"/>
    </row>
    <row r="246">
      <c r="A246" s="29">
        <f>IF(OR($B$3="",$D$3="",$F$3="",$H$3="",$B$4="",240&gt;$F$3,$J245="",IFERROR($J245&lt;=0,TRUE)),"",240)</f>
        <v/>
      </c>
      <c r="B246" s="21">
        <f>IF($A246="","",IFERROR(EDATE($B$4,$A246-1),""))</f>
        <v/>
      </c>
      <c r="C246" s="10">
        <f>IF($A246="","",$J245)</f>
        <v/>
      </c>
      <c r="D246" s="10">
        <f>IF($A246="","",IFERROR(MIN($H$3,$C246+$I246),""))</f>
        <v/>
      </c>
      <c r="E246" s="10">
        <f>IF($A246="","",IF($D$4="",0,$D$4))</f>
        <v/>
      </c>
      <c r="F246" s="16" t="n"/>
      <c r="G246" s="10">
        <f>IF($A246="","",IFERROR(MIN($C246+$I246,$D246+$E246+IF($F246="",0,$F246)),""))</f>
        <v/>
      </c>
      <c r="H246" s="10">
        <f>IF($A246="","",IFERROR(MAX(0,$G246-$I246),""))</f>
        <v/>
      </c>
      <c r="I246" s="10">
        <f>IF($A246="","",IFERROR($C246*$D$3/12,""))</f>
        <v/>
      </c>
      <c r="J246" s="10">
        <f>IF($A246="","",IFERROR(MAX(0,$C246-$H246),""))</f>
        <v/>
      </c>
      <c r="K246" s="14" t="n"/>
    </row>
    <row r="247">
      <c r="A247" s="28">
        <f>IF(OR($B$3="",$D$3="",$F$3="",$H$3="",$B$4="",241&gt;$F$3,$J246="",IFERROR($J246&lt;=0,TRUE)),"",241)</f>
        <v/>
      </c>
      <c r="B247" s="19">
        <f>IF($A247="","",IFERROR(EDATE($B$4,$A247-1),""))</f>
        <v/>
      </c>
      <c r="C247" s="9">
        <f>IF($A247="","",$J246)</f>
        <v/>
      </c>
      <c r="D247" s="9">
        <f>IF($A247="","",IFERROR(MIN($H$3,$C247+$I247),""))</f>
        <v/>
      </c>
      <c r="E247" s="9">
        <f>IF($A247="","",IF($D$4="",0,$D$4))</f>
        <v/>
      </c>
      <c r="F247" s="16" t="n"/>
      <c r="G247" s="9">
        <f>IF($A247="","",IFERROR(MIN($C247+$I247,$D247+$E247+IF($F247="",0,$F247)),""))</f>
        <v/>
      </c>
      <c r="H247" s="9">
        <f>IF($A247="","",IFERROR(MAX(0,$G247-$I247),""))</f>
        <v/>
      </c>
      <c r="I247" s="9">
        <f>IF($A247="","",IFERROR($C247*$D$3/12,""))</f>
        <v/>
      </c>
      <c r="J247" s="9">
        <f>IF($A247="","",IFERROR(MAX(0,$C247-$H247),""))</f>
        <v/>
      </c>
      <c r="K247" s="14" t="n"/>
    </row>
    <row r="248">
      <c r="A248" s="29">
        <f>IF(OR($B$3="",$D$3="",$F$3="",$H$3="",$B$4="",242&gt;$F$3,$J247="",IFERROR($J247&lt;=0,TRUE)),"",242)</f>
        <v/>
      </c>
      <c r="B248" s="21">
        <f>IF($A248="","",IFERROR(EDATE($B$4,$A248-1),""))</f>
        <v/>
      </c>
      <c r="C248" s="10">
        <f>IF($A248="","",$J247)</f>
        <v/>
      </c>
      <c r="D248" s="10">
        <f>IF($A248="","",IFERROR(MIN($H$3,$C248+$I248),""))</f>
        <v/>
      </c>
      <c r="E248" s="10">
        <f>IF($A248="","",IF($D$4="",0,$D$4))</f>
        <v/>
      </c>
      <c r="F248" s="16" t="n"/>
      <c r="G248" s="10">
        <f>IF($A248="","",IFERROR(MIN($C248+$I248,$D248+$E248+IF($F248="",0,$F248)),""))</f>
        <v/>
      </c>
      <c r="H248" s="10">
        <f>IF($A248="","",IFERROR(MAX(0,$G248-$I248),""))</f>
        <v/>
      </c>
      <c r="I248" s="10">
        <f>IF($A248="","",IFERROR($C248*$D$3/12,""))</f>
        <v/>
      </c>
      <c r="J248" s="10">
        <f>IF($A248="","",IFERROR(MAX(0,$C248-$H248),""))</f>
        <v/>
      </c>
      <c r="K248" s="14" t="n"/>
    </row>
    <row r="249">
      <c r="A249" s="28">
        <f>IF(OR($B$3="",$D$3="",$F$3="",$H$3="",$B$4="",243&gt;$F$3,$J248="",IFERROR($J248&lt;=0,TRUE)),"",243)</f>
        <v/>
      </c>
      <c r="B249" s="19">
        <f>IF($A249="","",IFERROR(EDATE($B$4,$A249-1),""))</f>
        <v/>
      </c>
      <c r="C249" s="9">
        <f>IF($A249="","",$J248)</f>
        <v/>
      </c>
      <c r="D249" s="9">
        <f>IF($A249="","",IFERROR(MIN($H$3,$C249+$I249),""))</f>
        <v/>
      </c>
      <c r="E249" s="9">
        <f>IF($A249="","",IF($D$4="",0,$D$4))</f>
        <v/>
      </c>
      <c r="F249" s="16" t="n"/>
      <c r="G249" s="9">
        <f>IF($A249="","",IFERROR(MIN($C249+$I249,$D249+$E249+IF($F249="",0,$F249)),""))</f>
        <v/>
      </c>
      <c r="H249" s="9">
        <f>IF($A249="","",IFERROR(MAX(0,$G249-$I249),""))</f>
        <v/>
      </c>
      <c r="I249" s="9">
        <f>IF($A249="","",IFERROR($C249*$D$3/12,""))</f>
        <v/>
      </c>
      <c r="J249" s="9">
        <f>IF($A249="","",IFERROR(MAX(0,$C249-$H249),""))</f>
        <v/>
      </c>
      <c r="K249" s="14" t="n"/>
    </row>
    <row r="250">
      <c r="A250" s="29">
        <f>IF(OR($B$3="",$D$3="",$F$3="",$H$3="",$B$4="",244&gt;$F$3,$J249="",IFERROR($J249&lt;=0,TRUE)),"",244)</f>
        <v/>
      </c>
      <c r="B250" s="21">
        <f>IF($A250="","",IFERROR(EDATE($B$4,$A250-1),""))</f>
        <v/>
      </c>
      <c r="C250" s="10">
        <f>IF($A250="","",$J249)</f>
        <v/>
      </c>
      <c r="D250" s="10">
        <f>IF($A250="","",IFERROR(MIN($H$3,$C250+$I250),""))</f>
        <v/>
      </c>
      <c r="E250" s="10">
        <f>IF($A250="","",IF($D$4="",0,$D$4))</f>
        <v/>
      </c>
      <c r="F250" s="16" t="n"/>
      <c r="G250" s="10">
        <f>IF($A250="","",IFERROR(MIN($C250+$I250,$D250+$E250+IF($F250="",0,$F250)),""))</f>
        <v/>
      </c>
      <c r="H250" s="10">
        <f>IF($A250="","",IFERROR(MAX(0,$G250-$I250),""))</f>
        <v/>
      </c>
      <c r="I250" s="10">
        <f>IF($A250="","",IFERROR($C250*$D$3/12,""))</f>
        <v/>
      </c>
      <c r="J250" s="10">
        <f>IF($A250="","",IFERROR(MAX(0,$C250-$H250),""))</f>
        <v/>
      </c>
      <c r="K250" s="14" t="n"/>
    </row>
    <row r="251">
      <c r="A251" s="28">
        <f>IF(OR($B$3="",$D$3="",$F$3="",$H$3="",$B$4="",245&gt;$F$3,$J250="",IFERROR($J250&lt;=0,TRUE)),"",245)</f>
        <v/>
      </c>
      <c r="B251" s="19">
        <f>IF($A251="","",IFERROR(EDATE($B$4,$A251-1),""))</f>
        <v/>
      </c>
      <c r="C251" s="9">
        <f>IF($A251="","",$J250)</f>
        <v/>
      </c>
      <c r="D251" s="9">
        <f>IF($A251="","",IFERROR(MIN($H$3,$C251+$I251),""))</f>
        <v/>
      </c>
      <c r="E251" s="9">
        <f>IF($A251="","",IF($D$4="",0,$D$4))</f>
        <v/>
      </c>
      <c r="F251" s="16" t="n"/>
      <c r="G251" s="9">
        <f>IF($A251="","",IFERROR(MIN($C251+$I251,$D251+$E251+IF($F251="",0,$F251)),""))</f>
        <v/>
      </c>
      <c r="H251" s="9">
        <f>IF($A251="","",IFERROR(MAX(0,$G251-$I251),""))</f>
        <v/>
      </c>
      <c r="I251" s="9">
        <f>IF($A251="","",IFERROR($C251*$D$3/12,""))</f>
        <v/>
      </c>
      <c r="J251" s="9">
        <f>IF($A251="","",IFERROR(MAX(0,$C251-$H251),""))</f>
        <v/>
      </c>
      <c r="K251" s="14" t="n"/>
    </row>
    <row r="252">
      <c r="A252" s="29">
        <f>IF(OR($B$3="",$D$3="",$F$3="",$H$3="",$B$4="",246&gt;$F$3,$J251="",IFERROR($J251&lt;=0,TRUE)),"",246)</f>
        <v/>
      </c>
      <c r="B252" s="21">
        <f>IF($A252="","",IFERROR(EDATE($B$4,$A252-1),""))</f>
        <v/>
      </c>
      <c r="C252" s="10">
        <f>IF($A252="","",$J251)</f>
        <v/>
      </c>
      <c r="D252" s="10">
        <f>IF($A252="","",IFERROR(MIN($H$3,$C252+$I252),""))</f>
        <v/>
      </c>
      <c r="E252" s="10">
        <f>IF($A252="","",IF($D$4="",0,$D$4))</f>
        <v/>
      </c>
      <c r="F252" s="16" t="n"/>
      <c r="G252" s="10">
        <f>IF($A252="","",IFERROR(MIN($C252+$I252,$D252+$E252+IF($F252="",0,$F252)),""))</f>
        <v/>
      </c>
      <c r="H252" s="10">
        <f>IF($A252="","",IFERROR(MAX(0,$G252-$I252),""))</f>
        <v/>
      </c>
      <c r="I252" s="10">
        <f>IF($A252="","",IFERROR($C252*$D$3/12,""))</f>
        <v/>
      </c>
      <c r="J252" s="10">
        <f>IF($A252="","",IFERROR(MAX(0,$C252-$H252),""))</f>
        <v/>
      </c>
      <c r="K252" s="14" t="n"/>
    </row>
    <row r="253">
      <c r="A253" s="28">
        <f>IF(OR($B$3="",$D$3="",$F$3="",$H$3="",$B$4="",247&gt;$F$3,$J252="",IFERROR($J252&lt;=0,TRUE)),"",247)</f>
        <v/>
      </c>
      <c r="B253" s="19">
        <f>IF($A253="","",IFERROR(EDATE($B$4,$A253-1),""))</f>
        <v/>
      </c>
      <c r="C253" s="9">
        <f>IF($A253="","",$J252)</f>
        <v/>
      </c>
      <c r="D253" s="9">
        <f>IF($A253="","",IFERROR(MIN($H$3,$C253+$I253),""))</f>
        <v/>
      </c>
      <c r="E253" s="9">
        <f>IF($A253="","",IF($D$4="",0,$D$4))</f>
        <v/>
      </c>
      <c r="F253" s="16" t="n"/>
      <c r="G253" s="9">
        <f>IF($A253="","",IFERROR(MIN($C253+$I253,$D253+$E253+IF($F253="",0,$F253)),""))</f>
        <v/>
      </c>
      <c r="H253" s="9">
        <f>IF($A253="","",IFERROR(MAX(0,$G253-$I253),""))</f>
        <v/>
      </c>
      <c r="I253" s="9">
        <f>IF($A253="","",IFERROR($C253*$D$3/12,""))</f>
        <v/>
      </c>
      <c r="J253" s="9">
        <f>IF($A253="","",IFERROR(MAX(0,$C253-$H253),""))</f>
        <v/>
      </c>
      <c r="K253" s="14" t="n"/>
    </row>
    <row r="254">
      <c r="A254" s="29">
        <f>IF(OR($B$3="",$D$3="",$F$3="",$H$3="",$B$4="",248&gt;$F$3,$J253="",IFERROR($J253&lt;=0,TRUE)),"",248)</f>
        <v/>
      </c>
      <c r="B254" s="21">
        <f>IF($A254="","",IFERROR(EDATE($B$4,$A254-1),""))</f>
        <v/>
      </c>
      <c r="C254" s="10">
        <f>IF($A254="","",$J253)</f>
        <v/>
      </c>
      <c r="D254" s="10">
        <f>IF($A254="","",IFERROR(MIN($H$3,$C254+$I254),""))</f>
        <v/>
      </c>
      <c r="E254" s="10">
        <f>IF($A254="","",IF($D$4="",0,$D$4))</f>
        <v/>
      </c>
      <c r="F254" s="16" t="n"/>
      <c r="G254" s="10">
        <f>IF($A254="","",IFERROR(MIN($C254+$I254,$D254+$E254+IF($F254="",0,$F254)),""))</f>
        <v/>
      </c>
      <c r="H254" s="10">
        <f>IF($A254="","",IFERROR(MAX(0,$G254-$I254),""))</f>
        <v/>
      </c>
      <c r="I254" s="10">
        <f>IF($A254="","",IFERROR($C254*$D$3/12,""))</f>
        <v/>
      </c>
      <c r="J254" s="10">
        <f>IF($A254="","",IFERROR(MAX(0,$C254-$H254),""))</f>
        <v/>
      </c>
      <c r="K254" s="14" t="n"/>
    </row>
    <row r="255">
      <c r="A255" s="28">
        <f>IF(OR($B$3="",$D$3="",$F$3="",$H$3="",$B$4="",249&gt;$F$3,$J254="",IFERROR($J254&lt;=0,TRUE)),"",249)</f>
        <v/>
      </c>
      <c r="B255" s="19">
        <f>IF($A255="","",IFERROR(EDATE($B$4,$A255-1),""))</f>
        <v/>
      </c>
      <c r="C255" s="9">
        <f>IF($A255="","",$J254)</f>
        <v/>
      </c>
      <c r="D255" s="9">
        <f>IF($A255="","",IFERROR(MIN($H$3,$C255+$I255),""))</f>
        <v/>
      </c>
      <c r="E255" s="9">
        <f>IF($A255="","",IF($D$4="",0,$D$4))</f>
        <v/>
      </c>
      <c r="F255" s="16" t="n"/>
      <c r="G255" s="9">
        <f>IF($A255="","",IFERROR(MIN($C255+$I255,$D255+$E255+IF($F255="",0,$F255)),""))</f>
        <v/>
      </c>
      <c r="H255" s="9">
        <f>IF($A255="","",IFERROR(MAX(0,$G255-$I255),""))</f>
        <v/>
      </c>
      <c r="I255" s="9">
        <f>IF($A255="","",IFERROR($C255*$D$3/12,""))</f>
        <v/>
      </c>
      <c r="J255" s="9">
        <f>IF($A255="","",IFERROR(MAX(0,$C255-$H255),""))</f>
        <v/>
      </c>
      <c r="K255" s="14" t="n"/>
    </row>
    <row r="256">
      <c r="A256" s="29">
        <f>IF(OR($B$3="",$D$3="",$F$3="",$H$3="",$B$4="",250&gt;$F$3,$J255="",IFERROR($J255&lt;=0,TRUE)),"",250)</f>
        <v/>
      </c>
      <c r="B256" s="21">
        <f>IF($A256="","",IFERROR(EDATE($B$4,$A256-1),""))</f>
        <v/>
      </c>
      <c r="C256" s="10">
        <f>IF($A256="","",$J255)</f>
        <v/>
      </c>
      <c r="D256" s="10">
        <f>IF($A256="","",IFERROR(MIN($H$3,$C256+$I256),""))</f>
        <v/>
      </c>
      <c r="E256" s="10">
        <f>IF($A256="","",IF($D$4="",0,$D$4))</f>
        <v/>
      </c>
      <c r="F256" s="16" t="n"/>
      <c r="G256" s="10">
        <f>IF($A256="","",IFERROR(MIN($C256+$I256,$D256+$E256+IF($F256="",0,$F256)),""))</f>
        <v/>
      </c>
      <c r="H256" s="10">
        <f>IF($A256="","",IFERROR(MAX(0,$G256-$I256),""))</f>
        <v/>
      </c>
      <c r="I256" s="10">
        <f>IF($A256="","",IFERROR($C256*$D$3/12,""))</f>
        <v/>
      </c>
      <c r="J256" s="10">
        <f>IF($A256="","",IFERROR(MAX(0,$C256-$H256),""))</f>
        <v/>
      </c>
      <c r="K256" s="14" t="n"/>
    </row>
    <row r="257">
      <c r="A257" s="28">
        <f>IF(OR($B$3="",$D$3="",$F$3="",$H$3="",$B$4="",251&gt;$F$3,$J256="",IFERROR($J256&lt;=0,TRUE)),"",251)</f>
        <v/>
      </c>
      <c r="B257" s="19">
        <f>IF($A257="","",IFERROR(EDATE($B$4,$A257-1),""))</f>
        <v/>
      </c>
      <c r="C257" s="9">
        <f>IF($A257="","",$J256)</f>
        <v/>
      </c>
      <c r="D257" s="9">
        <f>IF($A257="","",IFERROR(MIN($H$3,$C257+$I257),""))</f>
        <v/>
      </c>
      <c r="E257" s="9">
        <f>IF($A257="","",IF($D$4="",0,$D$4))</f>
        <v/>
      </c>
      <c r="F257" s="16" t="n"/>
      <c r="G257" s="9">
        <f>IF($A257="","",IFERROR(MIN($C257+$I257,$D257+$E257+IF($F257="",0,$F257)),""))</f>
        <v/>
      </c>
      <c r="H257" s="9">
        <f>IF($A257="","",IFERROR(MAX(0,$G257-$I257),""))</f>
        <v/>
      </c>
      <c r="I257" s="9">
        <f>IF($A257="","",IFERROR($C257*$D$3/12,""))</f>
        <v/>
      </c>
      <c r="J257" s="9">
        <f>IF($A257="","",IFERROR(MAX(0,$C257-$H257),""))</f>
        <v/>
      </c>
      <c r="K257" s="14" t="n"/>
    </row>
    <row r="258">
      <c r="A258" s="29">
        <f>IF(OR($B$3="",$D$3="",$F$3="",$H$3="",$B$4="",252&gt;$F$3,$J257="",IFERROR($J257&lt;=0,TRUE)),"",252)</f>
        <v/>
      </c>
      <c r="B258" s="21">
        <f>IF($A258="","",IFERROR(EDATE($B$4,$A258-1),""))</f>
        <v/>
      </c>
      <c r="C258" s="10">
        <f>IF($A258="","",$J257)</f>
        <v/>
      </c>
      <c r="D258" s="10">
        <f>IF($A258="","",IFERROR(MIN($H$3,$C258+$I258),""))</f>
        <v/>
      </c>
      <c r="E258" s="10">
        <f>IF($A258="","",IF($D$4="",0,$D$4))</f>
        <v/>
      </c>
      <c r="F258" s="16" t="n"/>
      <c r="G258" s="10">
        <f>IF($A258="","",IFERROR(MIN($C258+$I258,$D258+$E258+IF($F258="",0,$F258)),""))</f>
        <v/>
      </c>
      <c r="H258" s="10">
        <f>IF($A258="","",IFERROR(MAX(0,$G258-$I258),""))</f>
        <v/>
      </c>
      <c r="I258" s="10">
        <f>IF($A258="","",IFERROR($C258*$D$3/12,""))</f>
        <v/>
      </c>
      <c r="J258" s="10">
        <f>IF($A258="","",IFERROR(MAX(0,$C258-$H258),""))</f>
        <v/>
      </c>
      <c r="K258" s="14" t="n"/>
    </row>
    <row r="259">
      <c r="A259" s="28">
        <f>IF(OR($B$3="",$D$3="",$F$3="",$H$3="",$B$4="",253&gt;$F$3,$J258="",IFERROR($J258&lt;=0,TRUE)),"",253)</f>
        <v/>
      </c>
      <c r="B259" s="19">
        <f>IF($A259="","",IFERROR(EDATE($B$4,$A259-1),""))</f>
        <v/>
      </c>
      <c r="C259" s="9">
        <f>IF($A259="","",$J258)</f>
        <v/>
      </c>
      <c r="D259" s="9">
        <f>IF($A259="","",IFERROR(MIN($H$3,$C259+$I259),""))</f>
        <v/>
      </c>
      <c r="E259" s="9">
        <f>IF($A259="","",IF($D$4="",0,$D$4))</f>
        <v/>
      </c>
      <c r="F259" s="16" t="n"/>
      <c r="G259" s="9">
        <f>IF($A259="","",IFERROR(MIN($C259+$I259,$D259+$E259+IF($F259="",0,$F259)),""))</f>
        <v/>
      </c>
      <c r="H259" s="9">
        <f>IF($A259="","",IFERROR(MAX(0,$G259-$I259),""))</f>
        <v/>
      </c>
      <c r="I259" s="9">
        <f>IF($A259="","",IFERROR($C259*$D$3/12,""))</f>
        <v/>
      </c>
      <c r="J259" s="9">
        <f>IF($A259="","",IFERROR(MAX(0,$C259-$H259),""))</f>
        <v/>
      </c>
      <c r="K259" s="14" t="n"/>
    </row>
    <row r="260">
      <c r="A260" s="29">
        <f>IF(OR($B$3="",$D$3="",$F$3="",$H$3="",$B$4="",254&gt;$F$3,$J259="",IFERROR($J259&lt;=0,TRUE)),"",254)</f>
        <v/>
      </c>
      <c r="B260" s="21">
        <f>IF($A260="","",IFERROR(EDATE($B$4,$A260-1),""))</f>
        <v/>
      </c>
      <c r="C260" s="10">
        <f>IF($A260="","",$J259)</f>
        <v/>
      </c>
      <c r="D260" s="10">
        <f>IF($A260="","",IFERROR(MIN($H$3,$C260+$I260),""))</f>
        <v/>
      </c>
      <c r="E260" s="10">
        <f>IF($A260="","",IF($D$4="",0,$D$4))</f>
        <v/>
      </c>
      <c r="F260" s="16" t="n"/>
      <c r="G260" s="10">
        <f>IF($A260="","",IFERROR(MIN($C260+$I260,$D260+$E260+IF($F260="",0,$F260)),""))</f>
        <v/>
      </c>
      <c r="H260" s="10">
        <f>IF($A260="","",IFERROR(MAX(0,$G260-$I260),""))</f>
        <v/>
      </c>
      <c r="I260" s="10">
        <f>IF($A260="","",IFERROR($C260*$D$3/12,""))</f>
        <v/>
      </c>
      <c r="J260" s="10">
        <f>IF($A260="","",IFERROR(MAX(0,$C260-$H260),""))</f>
        <v/>
      </c>
      <c r="K260" s="14" t="n"/>
    </row>
    <row r="261">
      <c r="A261" s="28">
        <f>IF(OR($B$3="",$D$3="",$F$3="",$H$3="",$B$4="",255&gt;$F$3,$J260="",IFERROR($J260&lt;=0,TRUE)),"",255)</f>
        <v/>
      </c>
      <c r="B261" s="19">
        <f>IF($A261="","",IFERROR(EDATE($B$4,$A261-1),""))</f>
        <v/>
      </c>
      <c r="C261" s="9">
        <f>IF($A261="","",$J260)</f>
        <v/>
      </c>
      <c r="D261" s="9">
        <f>IF($A261="","",IFERROR(MIN($H$3,$C261+$I261),""))</f>
        <v/>
      </c>
      <c r="E261" s="9">
        <f>IF($A261="","",IF($D$4="",0,$D$4))</f>
        <v/>
      </c>
      <c r="F261" s="16" t="n"/>
      <c r="G261" s="9">
        <f>IF($A261="","",IFERROR(MIN($C261+$I261,$D261+$E261+IF($F261="",0,$F261)),""))</f>
        <v/>
      </c>
      <c r="H261" s="9">
        <f>IF($A261="","",IFERROR(MAX(0,$G261-$I261),""))</f>
        <v/>
      </c>
      <c r="I261" s="9">
        <f>IF($A261="","",IFERROR($C261*$D$3/12,""))</f>
        <v/>
      </c>
      <c r="J261" s="9">
        <f>IF($A261="","",IFERROR(MAX(0,$C261-$H261),""))</f>
        <v/>
      </c>
      <c r="K261" s="14" t="n"/>
    </row>
    <row r="262">
      <c r="A262" s="29">
        <f>IF(OR($B$3="",$D$3="",$F$3="",$H$3="",$B$4="",256&gt;$F$3,$J261="",IFERROR($J261&lt;=0,TRUE)),"",256)</f>
        <v/>
      </c>
      <c r="B262" s="21">
        <f>IF($A262="","",IFERROR(EDATE($B$4,$A262-1),""))</f>
        <v/>
      </c>
      <c r="C262" s="10">
        <f>IF($A262="","",$J261)</f>
        <v/>
      </c>
      <c r="D262" s="10">
        <f>IF($A262="","",IFERROR(MIN($H$3,$C262+$I262),""))</f>
        <v/>
      </c>
      <c r="E262" s="10">
        <f>IF($A262="","",IF($D$4="",0,$D$4))</f>
        <v/>
      </c>
      <c r="F262" s="16" t="n"/>
      <c r="G262" s="10">
        <f>IF($A262="","",IFERROR(MIN($C262+$I262,$D262+$E262+IF($F262="",0,$F262)),""))</f>
        <v/>
      </c>
      <c r="H262" s="10">
        <f>IF($A262="","",IFERROR(MAX(0,$G262-$I262),""))</f>
        <v/>
      </c>
      <c r="I262" s="10">
        <f>IF($A262="","",IFERROR($C262*$D$3/12,""))</f>
        <v/>
      </c>
      <c r="J262" s="10">
        <f>IF($A262="","",IFERROR(MAX(0,$C262-$H262),""))</f>
        <v/>
      </c>
      <c r="K262" s="14" t="n"/>
    </row>
    <row r="263">
      <c r="A263" s="28">
        <f>IF(OR($B$3="",$D$3="",$F$3="",$H$3="",$B$4="",257&gt;$F$3,$J262="",IFERROR($J262&lt;=0,TRUE)),"",257)</f>
        <v/>
      </c>
      <c r="B263" s="19">
        <f>IF($A263="","",IFERROR(EDATE($B$4,$A263-1),""))</f>
        <v/>
      </c>
      <c r="C263" s="9">
        <f>IF($A263="","",$J262)</f>
        <v/>
      </c>
      <c r="D263" s="9">
        <f>IF($A263="","",IFERROR(MIN($H$3,$C263+$I263),""))</f>
        <v/>
      </c>
      <c r="E263" s="9">
        <f>IF($A263="","",IF($D$4="",0,$D$4))</f>
        <v/>
      </c>
      <c r="F263" s="16" t="n"/>
      <c r="G263" s="9">
        <f>IF($A263="","",IFERROR(MIN($C263+$I263,$D263+$E263+IF($F263="",0,$F263)),""))</f>
        <v/>
      </c>
      <c r="H263" s="9">
        <f>IF($A263="","",IFERROR(MAX(0,$G263-$I263),""))</f>
        <v/>
      </c>
      <c r="I263" s="9">
        <f>IF($A263="","",IFERROR($C263*$D$3/12,""))</f>
        <v/>
      </c>
      <c r="J263" s="9">
        <f>IF($A263="","",IFERROR(MAX(0,$C263-$H263),""))</f>
        <v/>
      </c>
      <c r="K263" s="14" t="n"/>
    </row>
    <row r="264">
      <c r="A264" s="29">
        <f>IF(OR($B$3="",$D$3="",$F$3="",$H$3="",$B$4="",258&gt;$F$3,$J263="",IFERROR($J263&lt;=0,TRUE)),"",258)</f>
        <v/>
      </c>
      <c r="B264" s="21">
        <f>IF($A264="","",IFERROR(EDATE($B$4,$A264-1),""))</f>
        <v/>
      </c>
      <c r="C264" s="10">
        <f>IF($A264="","",$J263)</f>
        <v/>
      </c>
      <c r="D264" s="10">
        <f>IF($A264="","",IFERROR(MIN($H$3,$C264+$I264),""))</f>
        <v/>
      </c>
      <c r="E264" s="10">
        <f>IF($A264="","",IF($D$4="",0,$D$4))</f>
        <v/>
      </c>
      <c r="F264" s="16" t="n"/>
      <c r="G264" s="10">
        <f>IF($A264="","",IFERROR(MIN($C264+$I264,$D264+$E264+IF($F264="",0,$F264)),""))</f>
        <v/>
      </c>
      <c r="H264" s="10">
        <f>IF($A264="","",IFERROR(MAX(0,$G264-$I264),""))</f>
        <v/>
      </c>
      <c r="I264" s="10">
        <f>IF($A264="","",IFERROR($C264*$D$3/12,""))</f>
        <v/>
      </c>
      <c r="J264" s="10">
        <f>IF($A264="","",IFERROR(MAX(0,$C264-$H264),""))</f>
        <v/>
      </c>
      <c r="K264" s="14" t="n"/>
    </row>
    <row r="265">
      <c r="A265" s="28">
        <f>IF(OR($B$3="",$D$3="",$F$3="",$H$3="",$B$4="",259&gt;$F$3,$J264="",IFERROR($J264&lt;=0,TRUE)),"",259)</f>
        <v/>
      </c>
      <c r="B265" s="19">
        <f>IF($A265="","",IFERROR(EDATE($B$4,$A265-1),""))</f>
        <v/>
      </c>
      <c r="C265" s="9">
        <f>IF($A265="","",$J264)</f>
        <v/>
      </c>
      <c r="D265" s="9">
        <f>IF($A265="","",IFERROR(MIN($H$3,$C265+$I265),""))</f>
        <v/>
      </c>
      <c r="E265" s="9">
        <f>IF($A265="","",IF($D$4="",0,$D$4))</f>
        <v/>
      </c>
      <c r="F265" s="16" t="n"/>
      <c r="G265" s="9">
        <f>IF($A265="","",IFERROR(MIN($C265+$I265,$D265+$E265+IF($F265="",0,$F265)),""))</f>
        <v/>
      </c>
      <c r="H265" s="9">
        <f>IF($A265="","",IFERROR(MAX(0,$G265-$I265),""))</f>
        <v/>
      </c>
      <c r="I265" s="9">
        <f>IF($A265="","",IFERROR($C265*$D$3/12,""))</f>
        <v/>
      </c>
      <c r="J265" s="9">
        <f>IF($A265="","",IFERROR(MAX(0,$C265-$H265),""))</f>
        <v/>
      </c>
      <c r="K265" s="14" t="n"/>
    </row>
    <row r="266">
      <c r="A266" s="29">
        <f>IF(OR($B$3="",$D$3="",$F$3="",$H$3="",$B$4="",260&gt;$F$3,$J265="",IFERROR($J265&lt;=0,TRUE)),"",260)</f>
        <v/>
      </c>
      <c r="B266" s="21">
        <f>IF($A266="","",IFERROR(EDATE($B$4,$A266-1),""))</f>
        <v/>
      </c>
      <c r="C266" s="10">
        <f>IF($A266="","",$J265)</f>
        <v/>
      </c>
      <c r="D266" s="10">
        <f>IF($A266="","",IFERROR(MIN($H$3,$C266+$I266),""))</f>
        <v/>
      </c>
      <c r="E266" s="10">
        <f>IF($A266="","",IF($D$4="",0,$D$4))</f>
        <v/>
      </c>
      <c r="F266" s="16" t="n"/>
      <c r="G266" s="10">
        <f>IF($A266="","",IFERROR(MIN($C266+$I266,$D266+$E266+IF($F266="",0,$F266)),""))</f>
        <v/>
      </c>
      <c r="H266" s="10">
        <f>IF($A266="","",IFERROR(MAX(0,$G266-$I266),""))</f>
        <v/>
      </c>
      <c r="I266" s="10">
        <f>IF($A266="","",IFERROR($C266*$D$3/12,""))</f>
        <v/>
      </c>
      <c r="J266" s="10">
        <f>IF($A266="","",IFERROR(MAX(0,$C266-$H266),""))</f>
        <v/>
      </c>
      <c r="K266" s="14" t="n"/>
    </row>
    <row r="267">
      <c r="A267" s="28">
        <f>IF(OR($B$3="",$D$3="",$F$3="",$H$3="",$B$4="",261&gt;$F$3,$J266="",IFERROR($J266&lt;=0,TRUE)),"",261)</f>
        <v/>
      </c>
      <c r="B267" s="19">
        <f>IF($A267="","",IFERROR(EDATE($B$4,$A267-1),""))</f>
        <v/>
      </c>
      <c r="C267" s="9">
        <f>IF($A267="","",$J266)</f>
        <v/>
      </c>
      <c r="D267" s="9">
        <f>IF($A267="","",IFERROR(MIN($H$3,$C267+$I267),""))</f>
        <v/>
      </c>
      <c r="E267" s="9">
        <f>IF($A267="","",IF($D$4="",0,$D$4))</f>
        <v/>
      </c>
      <c r="F267" s="16" t="n"/>
      <c r="G267" s="9">
        <f>IF($A267="","",IFERROR(MIN($C267+$I267,$D267+$E267+IF($F267="",0,$F267)),""))</f>
        <v/>
      </c>
      <c r="H267" s="9">
        <f>IF($A267="","",IFERROR(MAX(0,$G267-$I267),""))</f>
        <v/>
      </c>
      <c r="I267" s="9">
        <f>IF($A267="","",IFERROR($C267*$D$3/12,""))</f>
        <v/>
      </c>
      <c r="J267" s="9">
        <f>IF($A267="","",IFERROR(MAX(0,$C267-$H267),""))</f>
        <v/>
      </c>
      <c r="K267" s="14" t="n"/>
    </row>
    <row r="268">
      <c r="A268" s="29">
        <f>IF(OR($B$3="",$D$3="",$F$3="",$H$3="",$B$4="",262&gt;$F$3,$J267="",IFERROR($J267&lt;=0,TRUE)),"",262)</f>
        <v/>
      </c>
      <c r="B268" s="21">
        <f>IF($A268="","",IFERROR(EDATE($B$4,$A268-1),""))</f>
        <v/>
      </c>
      <c r="C268" s="10">
        <f>IF($A268="","",$J267)</f>
        <v/>
      </c>
      <c r="D268" s="10">
        <f>IF($A268="","",IFERROR(MIN($H$3,$C268+$I268),""))</f>
        <v/>
      </c>
      <c r="E268" s="10">
        <f>IF($A268="","",IF($D$4="",0,$D$4))</f>
        <v/>
      </c>
      <c r="F268" s="16" t="n"/>
      <c r="G268" s="10">
        <f>IF($A268="","",IFERROR(MIN($C268+$I268,$D268+$E268+IF($F268="",0,$F268)),""))</f>
        <v/>
      </c>
      <c r="H268" s="10">
        <f>IF($A268="","",IFERROR(MAX(0,$G268-$I268),""))</f>
        <v/>
      </c>
      <c r="I268" s="10">
        <f>IF($A268="","",IFERROR($C268*$D$3/12,""))</f>
        <v/>
      </c>
      <c r="J268" s="10">
        <f>IF($A268="","",IFERROR(MAX(0,$C268-$H268),""))</f>
        <v/>
      </c>
      <c r="K268" s="14" t="n"/>
    </row>
    <row r="269">
      <c r="A269" s="28">
        <f>IF(OR($B$3="",$D$3="",$F$3="",$H$3="",$B$4="",263&gt;$F$3,$J268="",IFERROR($J268&lt;=0,TRUE)),"",263)</f>
        <v/>
      </c>
      <c r="B269" s="19">
        <f>IF($A269="","",IFERROR(EDATE($B$4,$A269-1),""))</f>
        <v/>
      </c>
      <c r="C269" s="9">
        <f>IF($A269="","",$J268)</f>
        <v/>
      </c>
      <c r="D269" s="9">
        <f>IF($A269="","",IFERROR(MIN($H$3,$C269+$I269),""))</f>
        <v/>
      </c>
      <c r="E269" s="9">
        <f>IF($A269="","",IF($D$4="",0,$D$4))</f>
        <v/>
      </c>
      <c r="F269" s="16" t="n"/>
      <c r="G269" s="9">
        <f>IF($A269="","",IFERROR(MIN($C269+$I269,$D269+$E269+IF($F269="",0,$F269)),""))</f>
        <v/>
      </c>
      <c r="H269" s="9">
        <f>IF($A269="","",IFERROR(MAX(0,$G269-$I269),""))</f>
        <v/>
      </c>
      <c r="I269" s="9">
        <f>IF($A269="","",IFERROR($C269*$D$3/12,""))</f>
        <v/>
      </c>
      <c r="J269" s="9">
        <f>IF($A269="","",IFERROR(MAX(0,$C269-$H269),""))</f>
        <v/>
      </c>
      <c r="K269" s="14" t="n"/>
    </row>
    <row r="270">
      <c r="A270" s="29">
        <f>IF(OR($B$3="",$D$3="",$F$3="",$H$3="",$B$4="",264&gt;$F$3,$J269="",IFERROR($J269&lt;=0,TRUE)),"",264)</f>
        <v/>
      </c>
      <c r="B270" s="21">
        <f>IF($A270="","",IFERROR(EDATE($B$4,$A270-1),""))</f>
        <v/>
      </c>
      <c r="C270" s="10">
        <f>IF($A270="","",$J269)</f>
        <v/>
      </c>
      <c r="D270" s="10">
        <f>IF($A270="","",IFERROR(MIN($H$3,$C270+$I270),""))</f>
        <v/>
      </c>
      <c r="E270" s="10">
        <f>IF($A270="","",IF($D$4="",0,$D$4))</f>
        <v/>
      </c>
      <c r="F270" s="16" t="n"/>
      <c r="G270" s="10">
        <f>IF($A270="","",IFERROR(MIN($C270+$I270,$D270+$E270+IF($F270="",0,$F270)),""))</f>
        <v/>
      </c>
      <c r="H270" s="10">
        <f>IF($A270="","",IFERROR(MAX(0,$G270-$I270),""))</f>
        <v/>
      </c>
      <c r="I270" s="10">
        <f>IF($A270="","",IFERROR($C270*$D$3/12,""))</f>
        <v/>
      </c>
      <c r="J270" s="10">
        <f>IF($A270="","",IFERROR(MAX(0,$C270-$H270),""))</f>
        <v/>
      </c>
      <c r="K270" s="14" t="n"/>
    </row>
    <row r="271">
      <c r="A271" s="28">
        <f>IF(OR($B$3="",$D$3="",$F$3="",$H$3="",$B$4="",265&gt;$F$3,$J270="",IFERROR($J270&lt;=0,TRUE)),"",265)</f>
        <v/>
      </c>
      <c r="B271" s="19">
        <f>IF($A271="","",IFERROR(EDATE($B$4,$A271-1),""))</f>
        <v/>
      </c>
      <c r="C271" s="9">
        <f>IF($A271="","",$J270)</f>
        <v/>
      </c>
      <c r="D271" s="9">
        <f>IF($A271="","",IFERROR(MIN($H$3,$C271+$I271),""))</f>
        <v/>
      </c>
      <c r="E271" s="9">
        <f>IF($A271="","",IF($D$4="",0,$D$4))</f>
        <v/>
      </c>
      <c r="F271" s="16" t="n"/>
      <c r="G271" s="9">
        <f>IF($A271="","",IFERROR(MIN($C271+$I271,$D271+$E271+IF($F271="",0,$F271)),""))</f>
        <v/>
      </c>
      <c r="H271" s="9">
        <f>IF($A271="","",IFERROR(MAX(0,$G271-$I271),""))</f>
        <v/>
      </c>
      <c r="I271" s="9">
        <f>IF($A271="","",IFERROR($C271*$D$3/12,""))</f>
        <v/>
      </c>
      <c r="J271" s="9">
        <f>IF($A271="","",IFERROR(MAX(0,$C271-$H271),""))</f>
        <v/>
      </c>
      <c r="K271" s="14" t="n"/>
    </row>
    <row r="272">
      <c r="A272" s="29">
        <f>IF(OR($B$3="",$D$3="",$F$3="",$H$3="",$B$4="",266&gt;$F$3,$J271="",IFERROR($J271&lt;=0,TRUE)),"",266)</f>
        <v/>
      </c>
      <c r="B272" s="21">
        <f>IF($A272="","",IFERROR(EDATE($B$4,$A272-1),""))</f>
        <v/>
      </c>
      <c r="C272" s="10">
        <f>IF($A272="","",$J271)</f>
        <v/>
      </c>
      <c r="D272" s="10">
        <f>IF($A272="","",IFERROR(MIN($H$3,$C272+$I272),""))</f>
        <v/>
      </c>
      <c r="E272" s="10">
        <f>IF($A272="","",IF($D$4="",0,$D$4))</f>
        <v/>
      </c>
      <c r="F272" s="16" t="n"/>
      <c r="G272" s="10">
        <f>IF($A272="","",IFERROR(MIN($C272+$I272,$D272+$E272+IF($F272="",0,$F272)),""))</f>
        <v/>
      </c>
      <c r="H272" s="10">
        <f>IF($A272="","",IFERROR(MAX(0,$G272-$I272),""))</f>
        <v/>
      </c>
      <c r="I272" s="10">
        <f>IF($A272="","",IFERROR($C272*$D$3/12,""))</f>
        <v/>
      </c>
      <c r="J272" s="10">
        <f>IF($A272="","",IFERROR(MAX(0,$C272-$H272),""))</f>
        <v/>
      </c>
      <c r="K272" s="14" t="n"/>
    </row>
    <row r="273">
      <c r="A273" s="28">
        <f>IF(OR($B$3="",$D$3="",$F$3="",$H$3="",$B$4="",267&gt;$F$3,$J272="",IFERROR($J272&lt;=0,TRUE)),"",267)</f>
        <v/>
      </c>
      <c r="B273" s="19">
        <f>IF($A273="","",IFERROR(EDATE($B$4,$A273-1),""))</f>
        <v/>
      </c>
      <c r="C273" s="9">
        <f>IF($A273="","",$J272)</f>
        <v/>
      </c>
      <c r="D273" s="9">
        <f>IF($A273="","",IFERROR(MIN($H$3,$C273+$I273),""))</f>
        <v/>
      </c>
      <c r="E273" s="9">
        <f>IF($A273="","",IF($D$4="",0,$D$4))</f>
        <v/>
      </c>
      <c r="F273" s="16" t="n"/>
      <c r="G273" s="9">
        <f>IF($A273="","",IFERROR(MIN($C273+$I273,$D273+$E273+IF($F273="",0,$F273)),""))</f>
        <v/>
      </c>
      <c r="H273" s="9">
        <f>IF($A273="","",IFERROR(MAX(0,$G273-$I273),""))</f>
        <v/>
      </c>
      <c r="I273" s="9">
        <f>IF($A273="","",IFERROR($C273*$D$3/12,""))</f>
        <v/>
      </c>
      <c r="J273" s="9">
        <f>IF($A273="","",IFERROR(MAX(0,$C273-$H273),""))</f>
        <v/>
      </c>
      <c r="K273" s="14" t="n"/>
    </row>
    <row r="274">
      <c r="A274" s="29">
        <f>IF(OR($B$3="",$D$3="",$F$3="",$H$3="",$B$4="",268&gt;$F$3,$J273="",IFERROR($J273&lt;=0,TRUE)),"",268)</f>
        <v/>
      </c>
      <c r="B274" s="21">
        <f>IF($A274="","",IFERROR(EDATE($B$4,$A274-1),""))</f>
        <v/>
      </c>
      <c r="C274" s="10">
        <f>IF($A274="","",$J273)</f>
        <v/>
      </c>
      <c r="D274" s="10">
        <f>IF($A274="","",IFERROR(MIN($H$3,$C274+$I274),""))</f>
        <v/>
      </c>
      <c r="E274" s="10">
        <f>IF($A274="","",IF($D$4="",0,$D$4))</f>
        <v/>
      </c>
      <c r="F274" s="16" t="n"/>
      <c r="G274" s="10">
        <f>IF($A274="","",IFERROR(MIN($C274+$I274,$D274+$E274+IF($F274="",0,$F274)),""))</f>
        <v/>
      </c>
      <c r="H274" s="10">
        <f>IF($A274="","",IFERROR(MAX(0,$G274-$I274),""))</f>
        <v/>
      </c>
      <c r="I274" s="10">
        <f>IF($A274="","",IFERROR($C274*$D$3/12,""))</f>
        <v/>
      </c>
      <c r="J274" s="10">
        <f>IF($A274="","",IFERROR(MAX(0,$C274-$H274),""))</f>
        <v/>
      </c>
      <c r="K274" s="14" t="n"/>
    </row>
    <row r="275">
      <c r="A275" s="28">
        <f>IF(OR($B$3="",$D$3="",$F$3="",$H$3="",$B$4="",269&gt;$F$3,$J274="",IFERROR($J274&lt;=0,TRUE)),"",269)</f>
        <v/>
      </c>
      <c r="B275" s="19">
        <f>IF($A275="","",IFERROR(EDATE($B$4,$A275-1),""))</f>
        <v/>
      </c>
      <c r="C275" s="9">
        <f>IF($A275="","",$J274)</f>
        <v/>
      </c>
      <c r="D275" s="9">
        <f>IF($A275="","",IFERROR(MIN($H$3,$C275+$I275),""))</f>
        <v/>
      </c>
      <c r="E275" s="9">
        <f>IF($A275="","",IF($D$4="",0,$D$4))</f>
        <v/>
      </c>
      <c r="F275" s="16" t="n"/>
      <c r="G275" s="9">
        <f>IF($A275="","",IFERROR(MIN($C275+$I275,$D275+$E275+IF($F275="",0,$F275)),""))</f>
        <v/>
      </c>
      <c r="H275" s="9">
        <f>IF($A275="","",IFERROR(MAX(0,$G275-$I275),""))</f>
        <v/>
      </c>
      <c r="I275" s="9">
        <f>IF($A275="","",IFERROR($C275*$D$3/12,""))</f>
        <v/>
      </c>
      <c r="J275" s="9">
        <f>IF($A275="","",IFERROR(MAX(0,$C275-$H275),""))</f>
        <v/>
      </c>
      <c r="K275" s="14" t="n"/>
    </row>
    <row r="276">
      <c r="A276" s="29">
        <f>IF(OR($B$3="",$D$3="",$F$3="",$H$3="",$B$4="",270&gt;$F$3,$J275="",IFERROR($J275&lt;=0,TRUE)),"",270)</f>
        <v/>
      </c>
      <c r="B276" s="21">
        <f>IF($A276="","",IFERROR(EDATE($B$4,$A276-1),""))</f>
        <v/>
      </c>
      <c r="C276" s="10">
        <f>IF($A276="","",$J275)</f>
        <v/>
      </c>
      <c r="D276" s="10">
        <f>IF($A276="","",IFERROR(MIN($H$3,$C276+$I276),""))</f>
        <v/>
      </c>
      <c r="E276" s="10">
        <f>IF($A276="","",IF($D$4="",0,$D$4))</f>
        <v/>
      </c>
      <c r="F276" s="16" t="n"/>
      <c r="G276" s="10">
        <f>IF($A276="","",IFERROR(MIN($C276+$I276,$D276+$E276+IF($F276="",0,$F276)),""))</f>
        <v/>
      </c>
      <c r="H276" s="10">
        <f>IF($A276="","",IFERROR(MAX(0,$G276-$I276),""))</f>
        <v/>
      </c>
      <c r="I276" s="10">
        <f>IF($A276="","",IFERROR($C276*$D$3/12,""))</f>
        <v/>
      </c>
      <c r="J276" s="10">
        <f>IF($A276="","",IFERROR(MAX(0,$C276-$H276),""))</f>
        <v/>
      </c>
      <c r="K276" s="14" t="n"/>
    </row>
    <row r="277">
      <c r="A277" s="28">
        <f>IF(OR($B$3="",$D$3="",$F$3="",$H$3="",$B$4="",271&gt;$F$3,$J276="",IFERROR($J276&lt;=0,TRUE)),"",271)</f>
        <v/>
      </c>
      <c r="B277" s="19">
        <f>IF($A277="","",IFERROR(EDATE($B$4,$A277-1),""))</f>
        <v/>
      </c>
      <c r="C277" s="9">
        <f>IF($A277="","",$J276)</f>
        <v/>
      </c>
      <c r="D277" s="9">
        <f>IF($A277="","",IFERROR(MIN($H$3,$C277+$I277),""))</f>
        <v/>
      </c>
      <c r="E277" s="9">
        <f>IF($A277="","",IF($D$4="",0,$D$4))</f>
        <v/>
      </c>
      <c r="F277" s="16" t="n"/>
      <c r="G277" s="9">
        <f>IF($A277="","",IFERROR(MIN($C277+$I277,$D277+$E277+IF($F277="",0,$F277)),""))</f>
        <v/>
      </c>
      <c r="H277" s="9">
        <f>IF($A277="","",IFERROR(MAX(0,$G277-$I277),""))</f>
        <v/>
      </c>
      <c r="I277" s="9">
        <f>IF($A277="","",IFERROR($C277*$D$3/12,""))</f>
        <v/>
      </c>
      <c r="J277" s="9">
        <f>IF($A277="","",IFERROR(MAX(0,$C277-$H277),""))</f>
        <v/>
      </c>
      <c r="K277" s="14" t="n"/>
    </row>
    <row r="278">
      <c r="A278" s="29">
        <f>IF(OR($B$3="",$D$3="",$F$3="",$H$3="",$B$4="",272&gt;$F$3,$J277="",IFERROR($J277&lt;=0,TRUE)),"",272)</f>
        <v/>
      </c>
      <c r="B278" s="21">
        <f>IF($A278="","",IFERROR(EDATE($B$4,$A278-1),""))</f>
        <v/>
      </c>
      <c r="C278" s="10">
        <f>IF($A278="","",$J277)</f>
        <v/>
      </c>
      <c r="D278" s="10">
        <f>IF($A278="","",IFERROR(MIN($H$3,$C278+$I278),""))</f>
        <v/>
      </c>
      <c r="E278" s="10">
        <f>IF($A278="","",IF($D$4="",0,$D$4))</f>
        <v/>
      </c>
      <c r="F278" s="16" t="n"/>
      <c r="G278" s="10">
        <f>IF($A278="","",IFERROR(MIN($C278+$I278,$D278+$E278+IF($F278="",0,$F278)),""))</f>
        <v/>
      </c>
      <c r="H278" s="10">
        <f>IF($A278="","",IFERROR(MAX(0,$G278-$I278),""))</f>
        <v/>
      </c>
      <c r="I278" s="10">
        <f>IF($A278="","",IFERROR($C278*$D$3/12,""))</f>
        <v/>
      </c>
      <c r="J278" s="10">
        <f>IF($A278="","",IFERROR(MAX(0,$C278-$H278),""))</f>
        <v/>
      </c>
      <c r="K278" s="14" t="n"/>
    </row>
    <row r="279">
      <c r="A279" s="28">
        <f>IF(OR($B$3="",$D$3="",$F$3="",$H$3="",$B$4="",273&gt;$F$3,$J278="",IFERROR($J278&lt;=0,TRUE)),"",273)</f>
        <v/>
      </c>
      <c r="B279" s="19">
        <f>IF($A279="","",IFERROR(EDATE($B$4,$A279-1),""))</f>
        <v/>
      </c>
      <c r="C279" s="9">
        <f>IF($A279="","",$J278)</f>
        <v/>
      </c>
      <c r="D279" s="9">
        <f>IF($A279="","",IFERROR(MIN($H$3,$C279+$I279),""))</f>
        <v/>
      </c>
      <c r="E279" s="9">
        <f>IF($A279="","",IF($D$4="",0,$D$4))</f>
        <v/>
      </c>
      <c r="F279" s="16" t="n"/>
      <c r="G279" s="9">
        <f>IF($A279="","",IFERROR(MIN($C279+$I279,$D279+$E279+IF($F279="",0,$F279)),""))</f>
        <v/>
      </c>
      <c r="H279" s="9">
        <f>IF($A279="","",IFERROR(MAX(0,$G279-$I279),""))</f>
        <v/>
      </c>
      <c r="I279" s="9">
        <f>IF($A279="","",IFERROR($C279*$D$3/12,""))</f>
        <v/>
      </c>
      <c r="J279" s="9">
        <f>IF($A279="","",IFERROR(MAX(0,$C279-$H279),""))</f>
        <v/>
      </c>
      <c r="K279" s="14" t="n"/>
    </row>
    <row r="280">
      <c r="A280" s="29">
        <f>IF(OR($B$3="",$D$3="",$F$3="",$H$3="",$B$4="",274&gt;$F$3,$J279="",IFERROR($J279&lt;=0,TRUE)),"",274)</f>
        <v/>
      </c>
      <c r="B280" s="21">
        <f>IF($A280="","",IFERROR(EDATE($B$4,$A280-1),""))</f>
        <v/>
      </c>
      <c r="C280" s="10">
        <f>IF($A280="","",$J279)</f>
        <v/>
      </c>
      <c r="D280" s="10">
        <f>IF($A280="","",IFERROR(MIN($H$3,$C280+$I280),""))</f>
        <v/>
      </c>
      <c r="E280" s="10">
        <f>IF($A280="","",IF($D$4="",0,$D$4))</f>
        <v/>
      </c>
      <c r="F280" s="16" t="n"/>
      <c r="G280" s="10">
        <f>IF($A280="","",IFERROR(MIN($C280+$I280,$D280+$E280+IF($F280="",0,$F280)),""))</f>
        <v/>
      </c>
      <c r="H280" s="10">
        <f>IF($A280="","",IFERROR(MAX(0,$G280-$I280),""))</f>
        <v/>
      </c>
      <c r="I280" s="10">
        <f>IF($A280="","",IFERROR($C280*$D$3/12,""))</f>
        <v/>
      </c>
      <c r="J280" s="10">
        <f>IF($A280="","",IFERROR(MAX(0,$C280-$H280),""))</f>
        <v/>
      </c>
      <c r="K280" s="14" t="n"/>
    </row>
    <row r="281">
      <c r="A281" s="28">
        <f>IF(OR($B$3="",$D$3="",$F$3="",$H$3="",$B$4="",275&gt;$F$3,$J280="",IFERROR($J280&lt;=0,TRUE)),"",275)</f>
        <v/>
      </c>
      <c r="B281" s="19">
        <f>IF($A281="","",IFERROR(EDATE($B$4,$A281-1),""))</f>
        <v/>
      </c>
      <c r="C281" s="9">
        <f>IF($A281="","",$J280)</f>
        <v/>
      </c>
      <c r="D281" s="9">
        <f>IF($A281="","",IFERROR(MIN($H$3,$C281+$I281),""))</f>
        <v/>
      </c>
      <c r="E281" s="9">
        <f>IF($A281="","",IF($D$4="",0,$D$4))</f>
        <v/>
      </c>
      <c r="F281" s="16" t="n"/>
      <c r="G281" s="9">
        <f>IF($A281="","",IFERROR(MIN($C281+$I281,$D281+$E281+IF($F281="",0,$F281)),""))</f>
        <v/>
      </c>
      <c r="H281" s="9">
        <f>IF($A281="","",IFERROR(MAX(0,$G281-$I281),""))</f>
        <v/>
      </c>
      <c r="I281" s="9">
        <f>IF($A281="","",IFERROR($C281*$D$3/12,""))</f>
        <v/>
      </c>
      <c r="J281" s="9">
        <f>IF($A281="","",IFERROR(MAX(0,$C281-$H281),""))</f>
        <v/>
      </c>
      <c r="K281" s="14" t="n"/>
    </row>
    <row r="282">
      <c r="A282" s="29">
        <f>IF(OR($B$3="",$D$3="",$F$3="",$H$3="",$B$4="",276&gt;$F$3,$J281="",IFERROR($J281&lt;=0,TRUE)),"",276)</f>
        <v/>
      </c>
      <c r="B282" s="21">
        <f>IF($A282="","",IFERROR(EDATE($B$4,$A282-1),""))</f>
        <v/>
      </c>
      <c r="C282" s="10">
        <f>IF($A282="","",$J281)</f>
        <v/>
      </c>
      <c r="D282" s="10">
        <f>IF($A282="","",IFERROR(MIN($H$3,$C282+$I282),""))</f>
        <v/>
      </c>
      <c r="E282" s="10">
        <f>IF($A282="","",IF($D$4="",0,$D$4))</f>
        <v/>
      </c>
      <c r="F282" s="16" t="n"/>
      <c r="G282" s="10">
        <f>IF($A282="","",IFERROR(MIN($C282+$I282,$D282+$E282+IF($F282="",0,$F282)),""))</f>
        <v/>
      </c>
      <c r="H282" s="10">
        <f>IF($A282="","",IFERROR(MAX(0,$G282-$I282),""))</f>
        <v/>
      </c>
      <c r="I282" s="10">
        <f>IF($A282="","",IFERROR($C282*$D$3/12,""))</f>
        <v/>
      </c>
      <c r="J282" s="10">
        <f>IF($A282="","",IFERROR(MAX(0,$C282-$H282),""))</f>
        <v/>
      </c>
      <c r="K282" s="14" t="n"/>
    </row>
    <row r="283">
      <c r="A283" s="28">
        <f>IF(OR($B$3="",$D$3="",$F$3="",$H$3="",$B$4="",277&gt;$F$3,$J282="",IFERROR($J282&lt;=0,TRUE)),"",277)</f>
        <v/>
      </c>
      <c r="B283" s="19">
        <f>IF($A283="","",IFERROR(EDATE($B$4,$A283-1),""))</f>
        <v/>
      </c>
      <c r="C283" s="9">
        <f>IF($A283="","",$J282)</f>
        <v/>
      </c>
      <c r="D283" s="9">
        <f>IF($A283="","",IFERROR(MIN($H$3,$C283+$I283),""))</f>
        <v/>
      </c>
      <c r="E283" s="9">
        <f>IF($A283="","",IF($D$4="",0,$D$4))</f>
        <v/>
      </c>
      <c r="F283" s="16" t="n"/>
      <c r="G283" s="9">
        <f>IF($A283="","",IFERROR(MIN($C283+$I283,$D283+$E283+IF($F283="",0,$F283)),""))</f>
        <v/>
      </c>
      <c r="H283" s="9">
        <f>IF($A283="","",IFERROR(MAX(0,$G283-$I283),""))</f>
        <v/>
      </c>
      <c r="I283" s="9">
        <f>IF($A283="","",IFERROR($C283*$D$3/12,""))</f>
        <v/>
      </c>
      <c r="J283" s="9">
        <f>IF($A283="","",IFERROR(MAX(0,$C283-$H283),""))</f>
        <v/>
      </c>
      <c r="K283" s="14" t="n"/>
    </row>
    <row r="284">
      <c r="A284" s="29">
        <f>IF(OR($B$3="",$D$3="",$F$3="",$H$3="",$B$4="",278&gt;$F$3,$J283="",IFERROR($J283&lt;=0,TRUE)),"",278)</f>
        <v/>
      </c>
      <c r="B284" s="21">
        <f>IF($A284="","",IFERROR(EDATE($B$4,$A284-1),""))</f>
        <v/>
      </c>
      <c r="C284" s="10">
        <f>IF($A284="","",$J283)</f>
        <v/>
      </c>
      <c r="D284" s="10">
        <f>IF($A284="","",IFERROR(MIN($H$3,$C284+$I284),""))</f>
        <v/>
      </c>
      <c r="E284" s="10">
        <f>IF($A284="","",IF($D$4="",0,$D$4))</f>
        <v/>
      </c>
      <c r="F284" s="16" t="n"/>
      <c r="G284" s="10">
        <f>IF($A284="","",IFERROR(MIN($C284+$I284,$D284+$E284+IF($F284="",0,$F284)),""))</f>
        <v/>
      </c>
      <c r="H284" s="10">
        <f>IF($A284="","",IFERROR(MAX(0,$G284-$I284),""))</f>
        <v/>
      </c>
      <c r="I284" s="10">
        <f>IF($A284="","",IFERROR($C284*$D$3/12,""))</f>
        <v/>
      </c>
      <c r="J284" s="10">
        <f>IF($A284="","",IFERROR(MAX(0,$C284-$H284),""))</f>
        <v/>
      </c>
      <c r="K284" s="14" t="n"/>
    </row>
    <row r="285">
      <c r="A285" s="28">
        <f>IF(OR($B$3="",$D$3="",$F$3="",$H$3="",$B$4="",279&gt;$F$3,$J284="",IFERROR($J284&lt;=0,TRUE)),"",279)</f>
        <v/>
      </c>
      <c r="B285" s="19">
        <f>IF($A285="","",IFERROR(EDATE($B$4,$A285-1),""))</f>
        <v/>
      </c>
      <c r="C285" s="9">
        <f>IF($A285="","",$J284)</f>
        <v/>
      </c>
      <c r="D285" s="9">
        <f>IF($A285="","",IFERROR(MIN($H$3,$C285+$I285),""))</f>
        <v/>
      </c>
      <c r="E285" s="9">
        <f>IF($A285="","",IF($D$4="",0,$D$4))</f>
        <v/>
      </c>
      <c r="F285" s="16" t="n"/>
      <c r="G285" s="9">
        <f>IF($A285="","",IFERROR(MIN($C285+$I285,$D285+$E285+IF($F285="",0,$F285)),""))</f>
        <v/>
      </c>
      <c r="H285" s="9">
        <f>IF($A285="","",IFERROR(MAX(0,$G285-$I285),""))</f>
        <v/>
      </c>
      <c r="I285" s="9">
        <f>IF($A285="","",IFERROR($C285*$D$3/12,""))</f>
        <v/>
      </c>
      <c r="J285" s="9">
        <f>IF($A285="","",IFERROR(MAX(0,$C285-$H285),""))</f>
        <v/>
      </c>
      <c r="K285" s="14" t="n"/>
    </row>
    <row r="286">
      <c r="A286" s="29">
        <f>IF(OR($B$3="",$D$3="",$F$3="",$H$3="",$B$4="",280&gt;$F$3,$J285="",IFERROR($J285&lt;=0,TRUE)),"",280)</f>
        <v/>
      </c>
      <c r="B286" s="21">
        <f>IF($A286="","",IFERROR(EDATE($B$4,$A286-1),""))</f>
        <v/>
      </c>
      <c r="C286" s="10">
        <f>IF($A286="","",$J285)</f>
        <v/>
      </c>
      <c r="D286" s="10">
        <f>IF($A286="","",IFERROR(MIN($H$3,$C286+$I286),""))</f>
        <v/>
      </c>
      <c r="E286" s="10">
        <f>IF($A286="","",IF($D$4="",0,$D$4))</f>
        <v/>
      </c>
      <c r="F286" s="16" t="n"/>
      <c r="G286" s="10">
        <f>IF($A286="","",IFERROR(MIN($C286+$I286,$D286+$E286+IF($F286="",0,$F286)),""))</f>
        <v/>
      </c>
      <c r="H286" s="10">
        <f>IF($A286="","",IFERROR(MAX(0,$G286-$I286),""))</f>
        <v/>
      </c>
      <c r="I286" s="10">
        <f>IF($A286="","",IFERROR($C286*$D$3/12,""))</f>
        <v/>
      </c>
      <c r="J286" s="10">
        <f>IF($A286="","",IFERROR(MAX(0,$C286-$H286),""))</f>
        <v/>
      </c>
      <c r="K286" s="14" t="n"/>
    </row>
    <row r="287">
      <c r="A287" s="28">
        <f>IF(OR($B$3="",$D$3="",$F$3="",$H$3="",$B$4="",281&gt;$F$3,$J286="",IFERROR($J286&lt;=0,TRUE)),"",281)</f>
        <v/>
      </c>
      <c r="B287" s="19">
        <f>IF($A287="","",IFERROR(EDATE($B$4,$A287-1),""))</f>
        <v/>
      </c>
      <c r="C287" s="9">
        <f>IF($A287="","",$J286)</f>
        <v/>
      </c>
      <c r="D287" s="9">
        <f>IF($A287="","",IFERROR(MIN($H$3,$C287+$I287),""))</f>
        <v/>
      </c>
      <c r="E287" s="9">
        <f>IF($A287="","",IF($D$4="",0,$D$4))</f>
        <v/>
      </c>
      <c r="F287" s="16" t="n"/>
      <c r="G287" s="9">
        <f>IF($A287="","",IFERROR(MIN($C287+$I287,$D287+$E287+IF($F287="",0,$F287)),""))</f>
        <v/>
      </c>
      <c r="H287" s="9">
        <f>IF($A287="","",IFERROR(MAX(0,$G287-$I287),""))</f>
        <v/>
      </c>
      <c r="I287" s="9">
        <f>IF($A287="","",IFERROR($C287*$D$3/12,""))</f>
        <v/>
      </c>
      <c r="J287" s="9">
        <f>IF($A287="","",IFERROR(MAX(0,$C287-$H287),""))</f>
        <v/>
      </c>
      <c r="K287" s="14" t="n"/>
    </row>
    <row r="288">
      <c r="A288" s="29">
        <f>IF(OR($B$3="",$D$3="",$F$3="",$H$3="",$B$4="",282&gt;$F$3,$J287="",IFERROR($J287&lt;=0,TRUE)),"",282)</f>
        <v/>
      </c>
      <c r="B288" s="21">
        <f>IF($A288="","",IFERROR(EDATE($B$4,$A288-1),""))</f>
        <v/>
      </c>
      <c r="C288" s="10">
        <f>IF($A288="","",$J287)</f>
        <v/>
      </c>
      <c r="D288" s="10">
        <f>IF($A288="","",IFERROR(MIN($H$3,$C288+$I288),""))</f>
        <v/>
      </c>
      <c r="E288" s="10">
        <f>IF($A288="","",IF($D$4="",0,$D$4))</f>
        <v/>
      </c>
      <c r="F288" s="16" t="n"/>
      <c r="G288" s="10">
        <f>IF($A288="","",IFERROR(MIN($C288+$I288,$D288+$E288+IF($F288="",0,$F288)),""))</f>
        <v/>
      </c>
      <c r="H288" s="10">
        <f>IF($A288="","",IFERROR(MAX(0,$G288-$I288),""))</f>
        <v/>
      </c>
      <c r="I288" s="10">
        <f>IF($A288="","",IFERROR($C288*$D$3/12,""))</f>
        <v/>
      </c>
      <c r="J288" s="10">
        <f>IF($A288="","",IFERROR(MAX(0,$C288-$H288),""))</f>
        <v/>
      </c>
      <c r="K288" s="14" t="n"/>
    </row>
    <row r="289">
      <c r="A289" s="28">
        <f>IF(OR($B$3="",$D$3="",$F$3="",$H$3="",$B$4="",283&gt;$F$3,$J288="",IFERROR($J288&lt;=0,TRUE)),"",283)</f>
        <v/>
      </c>
      <c r="B289" s="19">
        <f>IF($A289="","",IFERROR(EDATE($B$4,$A289-1),""))</f>
        <v/>
      </c>
      <c r="C289" s="9">
        <f>IF($A289="","",$J288)</f>
        <v/>
      </c>
      <c r="D289" s="9">
        <f>IF($A289="","",IFERROR(MIN($H$3,$C289+$I289),""))</f>
        <v/>
      </c>
      <c r="E289" s="9">
        <f>IF($A289="","",IF($D$4="",0,$D$4))</f>
        <v/>
      </c>
      <c r="F289" s="16" t="n"/>
      <c r="G289" s="9">
        <f>IF($A289="","",IFERROR(MIN($C289+$I289,$D289+$E289+IF($F289="",0,$F289)),""))</f>
        <v/>
      </c>
      <c r="H289" s="9">
        <f>IF($A289="","",IFERROR(MAX(0,$G289-$I289),""))</f>
        <v/>
      </c>
      <c r="I289" s="9">
        <f>IF($A289="","",IFERROR($C289*$D$3/12,""))</f>
        <v/>
      </c>
      <c r="J289" s="9">
        <f>IF($A289="","",IFERROR(MAX(0,$C289-$H289),""))</f>
        <v/>
      </c>
      <c r="K289" s="14" t="n"/>
    </row>
    <row r="290">
      <c r="A290" s="29">
        <f>IF(OR($B$3="",$D$3="",$F$3="",$H$3="",$B$4="",284&gt;$F$3,$J289="",IFERROR($J289&lt;=0,TRUE)),"",284)</f>
        <v/>
      </c>
      <c r="B290" s="21">
        <f>IF($A290="","",IFERROR(EDATE($B$4,$A290-1),""))</f>
        <v/>
      </c>
      <c r="C290" s="10">
        <f>IF($A290="","",$J289)</f>
        <v/>
      </c>
      <c r="D290" s="10">
        <f>IF($A290="","",IFERROR(MIN($H$3,$C290+$I290),""))</f>
        <v/>
      </c>
      <c r="E290" s="10">
        <f>IF($A290="","",IF($D$4="",0,$D$4))</f>
        <v/>
      </c>
      <c r="F290" s="16" t="n"/>
      <c r="G290" s="10">
        <f>IF($A290="","",IFERROR(MIN($C290+$I290,$D290+$E290+IF($F290="",0,$F290)),""))</f>
        <v/>
      </c>
      <c r="H290" s="10">
        <f>IF($A290="","",IFERROR(MAX(0,$G290-$I290),""))</f>
        <v/>
      </c>
      <c r="I290" s="10">
        <f>IF($A290="","",IFERROR($C290*$D$3/12,""))</f>
        <v/>
      </c>
      <c r="J290" s="10">
        <f>IF($A290="","",IFERROR(MAX(0,$C290-$H290),""))</f>
        <v/>
      </c>
      <c r="K290" s="14" t="n"/>
    </row>
    <row r="291">
      <c r="A291" s="28">
        <f>IF(OR($B$3="",$D$3="",$F$3="",$H$3="",$B$4="",285&gt;$F$3,$J290="",IFERROR($J290&lt;=0,TRUE)),"",285)</f>
        <v/>
      </c>
      <c r="B291" s="19">
        <f>IF($A291="","",IFERROR(EDATE($B$4,$A291-1),""))</f>
        <v/>
      </c>
      <c r="C291" s="9">
        <f>IF($A291="","",$J290)</f>
        <v/>
      </c>
      <c r="D291" s="9">
        <f>IF($A291="","",IFERROR(MIN($H$3,$C291+$I291),""))</f>
        <v/>
      </c>
      <c r="E291" s="9">
        <f>IF($A291="","",IF($D$4="",0,$D$4))</f>
        <v/>
      </c>
      <c r="F291" s="16" t="n"/>
      <c r="G291" s="9">
        <f>IF($A291="","",IFERROR(MIN($C291+$I291,$D291+$E291+IF($F291="",0,$F291)),""))</f>
        <v/>
      </c>
      <c r="H291" s="9">
        <f>IF($A291="","",IFERROR(MAX(0,$G291-$I291),""))</f>
        <v/>
      </c>
      <c r="I291" s="9">
        <f>IF($A291="","",IFERROR($C291*$D$3/12,""))</f>
        <v/>
      </c>
      <c r="J291" s="9">
        <f>IF($A291="","",IFERROR(MAX(0,$C291-$H291),""))</f>
        <v/>
      </c>
      <c r="K291" s="14" t="n"/>
    </row>
    <row r="292">
      <c r="A292" s="29">
        <f>IF(OR($B$3="",$D$3="",$F$3="",$H$3="",$B$4="",286&gt;$F$3,$J291="",IFERROR($J291&lt;=0,TRUE)),"",286)</f>
        <v/>
      </c>
      <c r="B292" s="21">
        <f>IF($A292="","",IFERROR(EDATE($B$4,$A292-1),""))</f>
        <v/>
      </c>
      <c r="C292" s="10">
        <f>IF($A292="","",$J291)</f>
        <v/>
      </c>
      <c r="D292" s="10">
        <f>IF($A292="","",IFERROR(MIN($H$3,$C292+$I292),""))</f>
        <v/>
      </c>
      <c r="E292" s="10">
        <f>IF($A292="","",IF($D$4="",0,$D$4))</f>
        <v/>
      </c>
      <c r="F292" s="16" t="n"/>
      <c r="G292" s="10">
        <f>IF($A292="","",IFERROR(MIN($C292+$I292,$D292+$E292+IF($F292="",0,$F292)),""))</f>
        <v/>
      </c>
      <c r="H292" s="10">
        <f>IF($A292="","",IFERROR(MAX(0,$G292-$I292),""))</f>
        <v/>
      </c>
      <c r="I292" s="10">
        <f>IF($A292="","",IFERROR($C292*$D$3/12,""))</f>
        <v/>
      </c>
      <c r="J292" s="10">
        <f>IF($A292="","",IFERROR(MAX(0,$C292-$H292),""))</f>
        <v/>
      </c>
      <c r="K292" s="14" t="n"/>
    </row>
    <row r="293">
      <c r="A293" s="28">
        <f>IF(OR($B$3="",$D$3="",$F$3="",$H$3="",$B$4="",287&gt;$F$3,$J292="",IFERROR($J292&lt;=0,TRUE)),"",287)</f>
        <v/>
      </c>
      <c r="B293" s="19">
        <f>IF($A293="","",IFERROR(EDATE($B$4,$A293-1),""))</f>
        <v/>
      </c>
      <c r="C293" s="9">
        <f>IF($A293="","",$J292)</f>
        <v/>
      </c>
      <c r="D293" s="9">
        <f>IF($A293="","",IFERROR(MIN($H$3,$C293+$I293),""))</f>
        <v/>
      </c>
      <c r="E293" s="9">
        <f>IF($A293="","",IF($D$4="",0,$D$4))</f>
        <v/>
      </c>
      <c r="F293" s="16" t="n"/>
      <c r="G293" s="9">
        <f>IF($A293="","",IFERROR(MIN($C293+$I293,$D293+$E293+IF($F293="",0,$F293)),""))</f>
        <v/>
      </c>
      <c r="H293" s="9">
        <f>IF($A293="","",IFERROR(MAX(0,$G293-$I293),""))</f>
        <v/>
      </c>
      <c r="I293" s="9">
        <f>IF($A293="","",IFERROR($C293*$D$3/12,""))</f>
        <v/>
      </c>
      <c r="J293" s="9">
        <f>IF($A293="","",IFERROR(MAX(0,$C293-$H293),""))</f>
        <v/>
      </c>
      <c r="K293" s="14" t="n"/>
    </row>
    <row r="294">
      <c r="A294" s="29">
        <f>IF(OR($B$3="",$D$3="",$F$3="",$H$3="",$B$4="",288&gt;$F$3,$J293="",IFERROR($J293&lt;=0,TRUE)),"",288)</f>
        <v/>
      </c>
      <c r="B294" s="21">
        <f>IF($A294="","",IFERROR(EDATE($B$4,$A294-1),""))</f>
        <v/>
      </c>
      <c r="C294" s="10">
        <f>IF($A294="","",$J293)</f>
        <v/>
      </c>
      <c r="D294" s="10">
        <f>IF($A294="","",IFERROR(MIN($H$3,$C294+$I294),""))</f>
        <v/>
      </c>
      <c r="E294" s="10">
        <f>IF($A294="","",IF($D$4="",0,$D$4))</f>
        <v/>
      </c>
      <c r="F294" s="16" t="n"/>
      <c r="G294" s="10">
        <f>IF($A294="","",IFERROR(MIN($C294+$I294,$D294+$E294+IF($F294="",0,$F294)),""))</f>
        <v/>
      </c>
      <c r="H294" s="10">
        <f>IF($A294="","",IFERROR(MAX(0,$G294-$I294),""))</f>
        <v/>
      </c>
      <c r="I294" s="10">
        <f>IF($A294="","",IFERROR($C294*$D$3/12,""))</f>
        <v/>
      </c>
      <c r="J294" s="10">
        <f>IF($A294="","",IFERROR(MAX(0,$C294-$H294),""))</f>
        <v/>
      </c>
      <c r="K294" s="14" t="n"/>
    </row>
    <row r="295">
      <c r="A295" s="28">
        <f>IF(OR($B$3="",$D$3="",$F$3="",$H$3="",$B$4="",289&gt;$F$3,$J294="",IFERROR($J294&lt;=0,TRUE)),"",289)</f>
        <v/>
      </c>
      <c r="B295" s="19">
        <f>IF($A295="","",IFERROR(EDATE($B$4,$A295-1),""))</f>
        <v/>
      </c>
      <c r="C295" s="9">
        <f>IF($A295="","",$J294)</f>
        <v/>
      </c>
      <c r="D295" s="9">
        <f>IF($A295="","",IFERROR(MIN($H$3,$C295+$I295),""))</f>
        <v/>
      </c>
      <c r="E295" s="9">
        <f>IF($A295="","",IF($D$4="",0,$D$4))</f>
        <v/>
      </c>
      <c r="F295" s="16" t="n"/>
      <c r="G295" s="9">
        <f>IF($A295="","",IFERROR(MIN($C295+$I295,$D295+$E295+IF($F295="",0,$F295)),""))</f>
        <v/>
      </c>
      <c r="H295" s="9">
        <f>IF($A295="","",IFERROR(MAX(0,$G295-$I295),""))</f>
        <v/>
      </c>
      <c r="I295" s="9">
        <f>IF($A295="","",IFERROR($C295*$D$3/12,""))</f>
        <v/>
      </c>
      <c r="J295" s="9">
        <f>IF($A295="","",IFERROR(MAX(0,$C295-$H295),""))</f>
        <v/>
      </c>
      <c r="K295" s="14" t="n"/>
    </row>
    <row r="296">
      <c r="A296" s="29">
        <f>IF(OR($B$3="",$D$3="",$F$3="",$H$3="",$B$4="",290&gt;$F$3,$J295="",IFERROR($J295&lt;=0,TRUE)),"",290)</f>
        <v/>
      </c>
      <c r="B296" s="21">
        <f>IF($A296="","",IFERROR(EDATE($B$4,$A296-1),""))</f>
        <v/>
      </c>
      <c r="C296" s="10">
        <f>IF($A296="","",$J295)</f>
        <v/>
      </c>
      <c r="D296" s="10">
        <f>IF($A296="","",IFERROR(MIN($H$3,$C296+$I296),""))</f>
        <v/>
      </c>
      <c r="E296" s="10">
        <f>IF($A296="","",IF($D$4="",0,$D$4))</f>
        <v/>
      </c>
      <c r="F296" s="16" t="n"/>
      <c r="G296" s="10">
        <f>IF($A296="","",IFERROR(MIN($C296+$I296,$D296+$E296+IF($F296="",0,$F296)),""))</f>
        <v/>
      </c>
      <c r="H296" s="10">
        <f>IF($A296="","",IFERROR(MAX(0,$G296-$I296),""))</f>
        <v/>
      </c>
      <c r="I296" s="10">
        <f>IF($A296="","",IFERROR($C296*$D$3/12,""))</f>
        <v/>
      </c>
      <c r="J296" s="10">
        <f>IF($A296="","",IFERROR(MAX(0,$C296-$H296),""))</f>
        <v/>
      </c>
      <c r="K296" s="14" t="n"/>
    </row>
    <row r="297">
      <c r="A297" s="28">
        <f>IF(OR($B$3="",$D$3="",$F$3="",$H$3="",$B$4="",291&gt;$F$3,$J296="",IFERROR($J296&lt;=0,TRUE)),"",291)</f>
        <v/>
      </c>
      <c r="B297" s="19">
        <f>IF($A297="","",IFERROR(EDATE($B$4,$A297-1),""))</f>
        <v/>
      </c>
      <c r="C297" s="9">
        <f>IF($A297="","",$J296)</f>
        <v/>
      </c>
      <c r="D297" s="9">
        <f>IF($A297="","",IFERROR(MIN($H$3,$C297+$I297),""))</f>
        <v/>
      </c>
      <c r="E297" s="9">
        <f>IF($A297="","",IF($D$4="",0,$D$4))</f>
        <v/>
      </c>
      <c r="F297" s="16" t="n"/>
      <c r="G297" s="9">
        <f>IF($A297="","",IFERROR(MIN($C297+$I297,$D297+$E297+IF($F297="",0,$F297)),""))</f>
        <v/>
      </c>
      <c r="H297" s="9">
        <f>IF($A297="","",IFERROR(MAX(0,$G297-$I297),""))</f>
        <v/>
      </c>
      <c r="I297" s="9">
        <f>IF($A297="","",IFERROR($C297*$D$3/12,""))</f>
        <v/>
      </c>
      <c r="J297" s="9">
        <f>IF($A297="","",IFERROR(MAX(0,$C297-$H297),""))</f>
        <v/>
      </c>
      <c r="K297" s="14" t="n"/>
    </row>
    <row r="298">
      <c r="A298" s="29">
        <f>IF(OR($B$3="",$D$3="",$F$3="",$H$3="",$B$4="",292&gt;$F$3,$J297="",IFERROR($J297&lt;=0,TRUE)),"",292)</f>
        <v/>
      </c>
      <c r="B298" s="21">
        <f>IF($A298="","",IFERROR(EDATE($B$4,$A298-1),""))</f>
        <v/>
      </c>
      <c r="C298" s="10">
        <f>IF($A298="","",$J297)</f>
        <v/>
      </c>
      <c r="D298" s="10">
        <f>IF($A298="","",IFERROR(MIN($H$3,$C298+$I298),""))</f>
        <v/>
      </c>
      <c r="E298" s="10">
        <f>IF($A298="","",IF($D$4="",0,$D$4))</f>
        <v/>
      </c>
      <c r="F298" s="16" t="n"/>
      <c r="G298" s="10">
        <f>IF($A298="","",IFERROR(MIN($C298+$I298,$D298+$E298+IF($F298="",0,$F298)),""))</f>
        <v/>
      </c>
      <c r="H298" s="10">
        <f>IF($A298="","",IFERROR(MAX(0,$G298-$I298),""))</f>
        <v/>
      </c>
      <c r="I298" s="10">
        <f>IF($A298="","",IFERROR($C298*$D$3/12,""))</f>
        <v/>
      </c>
      <c r="J298" s="10">
        <f>IF($A298="","",IFERROR(MAX(0,$C298-$H298),""))</f>
        <v/>
      </c>
      <c r="K298" s="14" t="n"/>
    </row>
    <row r="299">
      <c r="A299" s="28">
        <f>IF(OR($B$3="",$D$3="",$F$3="",$H$3="",$B$4="",293&gt;$F$3,$J298="",IFERROR($J298&lt;=0,TRUE)),"",293)</f>
        <v/>
      </c>
      <c r="B299" s="19">
        <f>IF($A299="","",IFERROR(EDATE($B$4,$A299-1),""))</f>
        <v/>
      </c>
      <c r="C299" s="9">
        <f>IF($A299="","",$J298)</f>
        <v/>
      </c>
      <c r="D299" s="9">
        <f>IF($A299="","",IFERROR(MIN($H$3,$C299+$I299),""))</f>
        <v/>
      </c>
      <c r="E299" s="9">
        <f>IF($A299="","",IF($D$4="",0,$D$4))</f>
        <v/>
      </c>
      <c r="F299" s="16" t="n"/>
      <c r="G299" s="9">
        <f>IF($A299="","",IFERROR(MIN($C299+$I299,$D299+$E299+IF($F299="",0,$F299)),""))</f>
        <v/>
      </c>
      <c r="H299" s="9">
        <f>IF($A299="","",IFERROR(MAX(0,$G299-$I299),""))</f>
        <v/>
      </c>
      <c r="I299" s="9">
        <f>IF($A299="","",IFERROR($C299*$D$3/12,""))</f>
        <v/>
      </c>
      <c r="J299" s="9">
        <f>IF($A299="","",IFERROR(MAX(0,$C299-$H299),""))</f>
        <v/>
      </c>
      <c r="K299" s="14" t="n"/>
    </row>
    <row r="300">
      <c r="A300" s="29">
        <f>IF(OR($B$3="",$D$3="",$F$3="",$H$3="",$B$4="",294&gt;$F$3,$J299="",IFERROR($J299&lt;=0,TRUE)),"",294)</f>
        <v/>
      </c>
      <c r="B300" s="21">
        <f>IF($A300="","",IFERROR(EDATE($B$4,$A300-1),""))</f>
        <v/>
      </c>
      <c r="C300" s="10">
        <f>IF($A300="","",$J299)</f>
        <v/>
      </c>
      <c r="D300" s="10">
        <f>IF($A300="","",IFERROR(MIN($H$3,$C300+$I300),""))</f>
        <v/>
      </c>
      <c r="E300" s="10">
        <f>IF($A300="","",IF($D$4="",0,$D$4))</f>
        <v/>
      </c>
      <c r="F300" s="16" t="n"/>
      <c r="G300" s="10">
        <f>IF($A300="","",IFERROR(MIN($C300+$I300,$D300+$E300+IF($F300="",0,$F300)),""))</f>
        <v/>
      </c>
      <c r="H300" s="10">
        <f>IF($A300="","",IFERROR(MAX(0,$G300-$I300),""))</f>
        <v/>
      </c>
      <c r="I300" s="10">
        <f>IF($A300="","",IFERROR($C300*$D$3/12,""))</f>
        <v/>
      </c>
      <c r="J300" s="10">
        <f>IF($A300="","",IFERROR(MAX(0,$C300-$H300),""))</f>
        <v/>
      </c>
      <c r="K300" s="14" t="n"/>
    </row>
    <row r="301">
      <c r="A301" s="28">
        <f>IF(OR($B$3="",$D$3="",$F$3="",$H$3="",$B$4="",295&gt;$F$3,$J300="",IFERROR($J300&lt;=0,TRUE)),"",295)</f>
        <v/>
      </c>
      <c r="B301" s="19">
        <f>IF($A301="","",IFERROR(EDATE($B$4,$A301-1),""))</f>
        <v/>
      </c>
      <c r="C301" s="9">
        <f>IF($A301="","",$J300)</f>
        <v/>
      </c>
      <c r="D301" s="9">
        <f>IF($A301="","",IFERROR(MIN($H$3,$C301+$I301),""))</f>
        <v/>
      </c>
      <c r="E301" s="9">
        <f>IF($A301="","",IF($D$4="",0,$D$4))</f>
        <v/>
      </c>
      <c r="F301" s="16" t="n"/>
      <c r="G301" s="9">
        <f>IF($A301="","",IFERROR(MIN($C301+$I301,$D301+$E301+IF($F301="",0,$F301)),""))</f>
        <v/>
      </c>
      <c r="H301" s="9">
        <f>IF($A301="","",IFERROR(MAX(0,$G301-$I301),""))</f>
        <v/>
      </c>
      <c r="I301" s="9">
        <f>IF($A301="","",IFERROR($C301*$D$3/12,""))</f>
        <v/>
      </c>
      <c r="J301" s="9">
        <f>IF($A301="","",IFERROR(MAX(0,$C301-$H301),""))</f>
        <v/>
      </c>
      <c r="K301" s="14" t="n"/>
    </row>
    <row r="302">
      <c r="A302" s="29">
        <f>IF(OR($B$3="",$D$3="",$F$3="",$H$3="",$B$4="",296&gt;$F$3,$J301="",IFERROR($J301&lt;=0,TRUE)),"",296)</f>
        <v/>
      </c>
      <c r="B302" s="21">
        <f>IF($A302="","",IFERROR(EDATE($B$4,$A302-1),""))</f>
        <v/>
      </c>
      <c r="C302" s="10">
        <f>IF($A302="","",$J301)</f>
        <v/>
      </c>
      <c r="D302" s="10">
        <f>IF($A302="","",IFERROR(MIN($H$3,$C302+$I302),""))</f>
        <v/>
      </c>
      <c r="E302" s="10">
        <f>IF($A302="","",IF($D$4="",0,$D$4))</f>
        <v/>
      </c>
      <c r="F302" s="16" t="n"/>
      <c r="G302" s="10">
        <f>IF($A302="","",IFERROR(MIN($C302+$I302,$D302+$E302+IF($F302="",0,$F302)),""))</f>
        <v/>
      </c>
      <c r="H302" s="10">
        <f>IF($A302="","",IFERROR(MAX(0,$G302-$I302),""))</f>
        <v/>
      </c>
      <c r="I302" s="10">
        <f>IF($A302="","",IFERROR($C302*$D$3/12,""))</f>
        <v/>
      </c>
      <c r="J302" s="10">
        <f>IF($A302="","",IFERROR(MAX(0,$C302-$H302),""))</f>
        <v/>
      </c>
      <c r="K302" s="14" t="n"/>
    </row>
    <row r="303">
      <c r="A303" s="28">
        <f>IF(OR($B$3="",$D$3="",$F$3="",$H$3="",$B$4="",297&gt;$F$3,$J302="",IFERROR($J302&lt;=0,TRUE)),"",297)</f>
        <v/>
      </c>
      <c r="B303" s="19">
        <f>IF($A303="","",IFERROR(EDATE($B$4,$A303-1),""))</f>
        <v/>
      </c>
      <c r="C303" s="9">
        <f>IF($A303="","",$J302)</f>
        <v/>
      </c>
      <c r="D303" s="9">
        <f>IF($A303="","",IFERROR(MIN($H$3,$C303+$I303),""))</f>
        <v/>
      </c>
      <c r="E303" s="9">
        <f>IF($A303="","",IF($D$4="",0,$D$4))</f>
        <v/>
      </c>
      <c r="F303" s="16" t="n"/>
      <c r="G303" s="9">
        <f>IF($A303="","",IFERROR(MIN($C303+$I303,$D303+$E303+IF($F303="",0,$F303)),""))</f>
        <v/>
      </c>
      <c r="H303" s="9">
        <f>IF($A303="","",IFERROR(MAX(0,$G303-$I303),""))</f>
        <v/>
      </c>
      <c r="I303" s="9">
        <f>IF($A303="","",IFERROR($C303*$D$3/12,""))</f>
        <v/>
      </c>
      <c r="J303" s="9">
        <f>IF($A303="","",IFERROR(MAX(0,$C303-$H303),""))</f>
        <v/>
      </c>
      <c r="K303" s="14" t="n"/>
    </row>
    <row r="304">
      <c r="A304" s="29">
        <f>IF(OR($B$3="",$D$3="",$F$3="",$H$3="",$B$4="",298&gt;$F$3,$J303="",IFERROR($J303&lt;=0,TRUE)),"",298)</f>
        <v/>
      </c>
      <c r="B304" s="21">
        <f>IF($A304="","",IFERROR(EDATE($B$4,$A304-1),""))</f>
        <v/>
      </c>
      <c r="C304" s="10">
        <f>IF($A304="","",$J303)</f>
        <v/>
      </c>
      <c r="D304" s="10">
        <f>IF($A304="","",IFERROR(MIN($H$3,$C304+$I304),""))</f>
        <v/>
      </c>
      <c r="E304" s="10">
        <f>IF($A304="","",IF($D$4="",0,$D$4))</f>
        <v/>
      </c>
      <c r="F304" s="16" t="n"/>
      <c r="G304" s="10">
        <f>IF($A304="","",IFERROR(MIN($C304+$I304,$D304+$E304+IF($F304="",0,$F304)),""))</f>
        <v/>
      </c>
      <c r="H304" s="10">
        <f>IF($A304="","",IFERROR(MAX(0,$G304-$I304),""))</f>
        <v/>
      </c>
      <c r="I304" s="10">
        <f>IF($A304="","",IFERROR($C304*$D$3/12,""))</f>
        <v/>
      </c>
      <c r="J304" s="10">
        <f>IF($A304="","",IFERROR(MAX(0,$C304-$H304),""))</f>
        <v/>
      </c>
      <c r="K304" s="14" t="n"/>
    </row>
    <row r="305">
      <c r="A305" s="28">
        <f>IF(OR($B$3="",$D$3="",$F$3="",$H$3="",$B$4="",299&gt;$F$3,$J304="",IFERROR($J304&lt;=0,TRUE)),"",299)</f>
        <v/>
      </c>
      <c r="B305" s="19">
        <f>IF($A305="","",IFERROR(EDATE($B$4,$A305-1),""))</f>
        <v/>
      </c>
      <c r="C305" s="9">
        <f>IF($A305="","",$J304)</f>
        <v/>
      </c>
      <c r="D305" s="9">
        <f>IF($A305="","",IFERROR(MIN($H$3,$C305+$I305),""))</f>
        <v/>
      </c>
      <c r="E305" s="9">
        <f>IF($A305="","",IF($D$4="",0,$D$4))</f>
        <v/>
      </c>
      <c r="F305" s="16" t="n"/>
      <c r="G305" s="9">
        <f>IF($A305="","",IFERROR(MIN($C305+$I305,$D305+$E305+IF($F305="",0,$F305)),""))</f>
        <v/>
      </c>
      <c r="H305" s="9">
        <f>IF($A305="","",IFERROR(MAX(0,$G305-$I305),""))</f>
        <v/>
      </c>
      <c r="I305" s="9">
        <f>IF($A305="","",IFERROR($C305*$D$3/12,""))</f>
        <v/>
      </c>
      <c r="J305" s="9">
        <f>IF($A305="","",IFERROR(MAX(0,$C305-$H305),""))</f>
        <v/>
      </c>
      <c r="K305" s="14" t="n"/>
    </row>
    <row r="306">
      <c r="A306" s="29">
        <f>IF(OR($B$3="",$D$3="",$F$3="",$H$3="",$B$4="",300&gt;$F$3,$J305="",IFERROR($J305&lt;=0,TRUE)),"",300)</f>
        <v/>
      </c>
      <c r="B306" s="21">
        <f>IF($A306="","",IFERROR(EDATE($B$4,$A306-1),""))</f>
        <v/>
      </c>
      <c r="C306" s="10">
        <f>IF($A306="","",$J305)</f>
        <v/>
      </c>
      <c r="D306" s="10">
        <f>IF($A306="","",IFERROR(MIN($H$3,$C306+$I306),""))</f>
        <v/>
      </c>
      <c r="E306" s="10">
        <f>IF($A306="","",IF($D$4="",0,$D$4))</f>
        <v/>
      </c>
      <c r="F306" s="16" t="n"/>
      <c r="G306" s="10">
        <f>IF($A306="","",IFERROR(MIN($C306+$I306,$D306+$E306+IF($F306="",0,$F306)),""))</f>
        <v/>
      </c>
      <c r="H306" s="10">
        <f>IF($A306="","",IFERROR(MAX(0,$G306-$I306),""))</f>
        <v/>
      </c>
      <c r="I306" s="10">
        <f>IF($A306="","",IFERROR($C306*$D$3/12,""))</f>
        <v/>
      </c>
      <c r="J306" s="10">
        <f>IF($A306="","",IFERROR(MAX(0,$C306-$H306),""))</f>
        <v/>
      </c>
      <c r="K306" s="14" t="n"/>
    </row>
    <row r="307">
      <c r="A307" s="28">
        <f>IF(OR($B$3="",$D$3="",$F$3="",$H$3="",$B$4="",301&gt;$F$3,$J306="",IFERROR($J306&lt;=0,TRUE)),"",301)</f>
        <v/>
      </c>
      <c r="B307" s="19">
        <f>IF($A307="","",IFERROR(EDATE($B$4,$A307-1),""))</f>
        <v/>
      </c>
      <c r="C307" s="9">
        <f>IF($A307="","",$J306)</f>
        <v/>
      </c>
      <c r="D307" s="9">
        <f>IF($A307="","",IFERROR(MIN($H$3,$C307+$I307),""))</f>
        <v/>
      </c>
      <c r="E307" s="9">
        <f>IF($A307="","",IF($D$4="",0,$D$4))</f>
        <v/>
      </c>
      <c r="F307" s="16" t="n"/>
      <c r="G307" s="9">
        <f>IF($A307="","",IFERROR(MIN($C307+$I307,$D307+$E307+IF($F307="",0,$F307)),""))</f>
        <v/>
      </c>
      <c r="H307" s="9">
        <f>IF($A307="","",IFERROR(MAX(0,$G307-$I307),""))</f>
        <v/>
      </c>
      <c r="I307" s="9">
        <f>IF($A307="","",IFERROR($C307*$D$3/12,""))</f>
        <v/>
      </c>
      <c r="J307" s="9">
        <f>IF($A307="","",IFERROR(MAX(0,$C307-$H307),""))</f>
        <v/>
      </c>
      <c r="K307" s="14" t="n"/>
    </row>
    <row r="308">
      <c r="A308" s="29">
        <f>IF(OR($B$3="",$D$3="",$F$3="",$H$3="",$B$4="",302&gt;$F$3,$J307="",IFERROR($J307&lt;=0,TRUE)),"",302)</f>
        <v/>
      </c>
      <c r="B308" s="21">
        <f>IF($A308="","",IFERROR(EDATE($B$4,$A308-1),""))</f>
        <v/>
      </c>
      <c r="C308" s="10">
        <f>IF($A308="","",$J307)</f>
        <v/>
      </c>
      <c r="D308" s="10">
        <f>IF($A308="","",IFERROR(MIN($H$3,$C308+$I308),""))</f>
        <v/>
      </c>
      <c r="E308" s="10">
        <f>IF($A308="","",IF($D$4="",0,$D$4))</f>
        <v/>
      </c>
      <c r="F308" s="16" t="n"/>
      <c r="G308" s="10">
        <f>IF($A308="","",IFERROR(MIN($C308+$I308,$D308+$E308+IF($F308="",0,$F308)),""))</f>
        <v/>
      </c>
      <c r="H308" s="10">
        <f>IF($A308="","",IFERROR(MAX(0,$G308-$I308),""))</f>
        <v/>
      </c>
      <c r="I308" s="10">
        <f>IF($A308="","",IFERROR($C308*$D$3/12,""))</f>
        <v/>
      </c>
      <c r="J308" s="10">
        <f>IF($A308="","",IFERROR(MAX(0,$C308-$H308),""))</f>
        <v/>
      </c>
      <c r="K308" s="14" t="n"/>
    </row>
    <row r="309">
      <c r="A309" s="28">
        <f>IF(OR($B$3="",$D$3="",$F$3="",$H$3="",$B$4="",303&gt;$F$3,$J308="",IFERROR($J308&lt;=0,TRUE)),"",303)</f>
        <v/>
      </c>
      <c r="B309" s="19">
        <f>IF($A309="","",IFERROR(EDATE($B$4,$A309-1),""))</f>
        <v/>
      </c>
      <c r="C309" s="9">
        <f>IF($A309="","",$J308)</f>
        <v/>
      </c>
      <c r="D309" s="9">
        <f>IF($A309="","",IFERROR(MIN($H$3,$C309+$I309),""))</f>
        <v/>
      </c>
      <c r="E309" s="9">
        <f>IF($A309="","",IF($D$4="",0,$D$4))</f>
        <v/>
      </c>
      <c r="F309" s="16" t="n"/>
      <c r="G309" s="9">
        <f>IF($A309="","",IFERROR(MIN($C309+$I309,$D309+$E309+IF($F309="",0,$F309)),""))</f>
        <v/>
      </c>
      <c r="H309" s="9">
        <f>IF($A309="","",IFERROR(MAX(0,$G309-$I309),""))</f>
        <v/>
      </c>
      <c r="I309" s="9">
        <f>IF($A309="","",IFERROR($C309*$D$3/12,""))</f>
        <v/>
      </c>
      <c r="J309" s="9">
        <f>IF($A309="","",IFERROR(MAX(0,$C309-$H309),""))</f>
        <v/>
      </c>
      <c r="K309" s="14" t="n"/>
    </row>
    <row r="310">
      <c r="A310" s="29">
        <f>IF(OR($B$3="",$D$3="",$F$3="",$H$3="",$B$4="",304&gt;$F$3,$J309="",IFERROR($J309&lt;=0,TRUE)),"",304)</f>
        <v/>
      </c>
      <c r="B310" s="21">
        <f>IF($A310="","",IFERROR(EDATE($B$4,$A310-1),""))</f>
        <v/>
      </c>
      <c r="C310" s="10">
        <f>IF($A310="","",$J309)</f>
        <v/>
      </c>
      <c r="D310" s="10">
        <f>IF($A310="","",IFERROR(MIN($H$3,$C310+$I310),""))</f>
        <v/>
      </c>
      <c r="E310" s="10">
        <f>IF($A310="","",IF($D$4="",0,$D$4))</f>
        <v/>
      </c>
      <c r="F310" s="16" t="n"/>
      <c r="G310" s="10">
        <f>IF($A310="","",IFERROR(MIN($C310+$I310,$D310+$E310+IF($F310="",0,$F310)),""))</f>
        <v/>
      </c>
      <c r="H310" s="10">
        <f>IF($A310="","",IFERROR(MAX(0,$G310-$I310),""))</f>
        <v/>
      </c>
      <c r="I310" s="10">
        <f>IF($A310="","",IFERROR($C310*$D$3/12,""))</f>
        <v/>
      </c>
      <c r="J310" s="10">
        <f>IF($A310="","",IFERROR(MAX(0,$C310-$H310),""))</f>
        <v/>
      </c>
      <c r="K310" s="14" t="n"/>
    </row>
    <row r="311">
      <c r="A311" s="28">
        <f>IF(OR($B$3="",$D$3="",$F$3="",$H$3="",$B$4="",305&gt;$F$3,$J310="",IFERROR($J310&lt;=0,TRUE)),"",305)</f>
        <v/>
      </c>
      <c r="B311" s="19">
        <f>IF($A311="","",IFERROR(EDATE($B$4,$A311-1),""))</f>
        <v/>
      </c>
      <c r="C311" s="9">
        <f>IF($A311="","",$J310)</f>
        <v/>
      </c>
      <c r="D311" s="9">
        <f>IF($A311="","",IFERROR(MIN($H$3,$C311+$I311),""))</f>
        <v/>
      </c>
      <c r="E311" s="9">
        <f>IF($A311="","",IF($D$4="",0,$D$4))</f>
        <v/>
      </c>
      <c r="F311" s="16" t="n"/>
      <c r="G311" s="9">
        <f>IF($A311="","",IFERROR(MIN($C311+$I311,$D311+$E311+IF($F311="",0,$F311)),""))</f>
        <v/>
      </c>
      <c r="H311" s="9">
        <f>IF($A311="","",IFERROR(MAX(0,$G311-$I311),""))</f>
        <v/>
      </c>
      <c r="I311" s="9">
        <f>IF($A311="","",IFERROR($C311*$D$3/12,""))</f>
        <v/>
      </c>
      <c r="J311" s="9">
        <f>IF($A311="","",IFERROR(MAX(0,$C311-$H311),""))</f>
        <v/>
      </c>
      <c r="K311" s="14" t="n"/>
    </row>
    <row r="312">
      <c r="A312" s="29">
        <f>IF(OR($B$3="",$D$3="",$F$3="",$H$3="",$B$4="",306&gt;$F$3,$J311="",IFERROR($J311&lt;=0,TRUE)),"",306)</f>
        <v/>
      </c>
      <c r="B312" s="21">
        <f>IF($A312="","",IFERROR(EDATE($B$4,$A312-1),""))</f>
        <v/>
      </c>
      <c r="C312" s="10">
        <f>IF($A312="","",$J311)</f>
        <v/>
      </c>
      <c r="D312" s="10">
        <f>IF($A312="","",IFERROR(MIN($H$3,$C312+$I312),""))</f>
        <v/>
      </c>
      <c r="E312" s="10">
        <f>IF($A312="","",IF($D$4="",0,$D$4))</f>
        <v/>
      </c>
      <c r="F312" s="16" t="n"/>
      <c r="G312" s="10">
        <f>IF($A312="","",IFERROR(MIN($C312+$I312,$D312+$E312+IF($F312="",0,$F312)),""))</f>
        <v/>
      </c>
      <c r="H312" s="10">
        <f>IF($A312="","",IFERROR(MAX(0,$G312-$I312),""))</f>
        <v/>
      </c>
      <c r="I312" s="10">
        <f>IF($A312="","",IFERROR($C312*$D$3/12,""))</f>
        <v/>
      </c>
      <c r="J312" s="10">
        <f>IF($A312="","",IFERROR(MAX(0,$C312-$H312),""))</f>
        <v/>
      </c>
      <c r="K312" s="14" t="n"/>
    </row>
    <row r="313">
      <c r="A313" s="28">
        <f>IF(OR($B$3="",$D$3="",$F$3="",$H$3="",$B$4="",307&gt;$F$3,$J312="",IFERROR($J312&lt;=0,TRUE)),"",307)</f>
        <v/>
      </c>
      <c r="B313" s="19">
        <f>IF($A313="","",IFERROR(EDATE($B$4,$A313-1),""))</f>
        <v/>
      </c>
      <c r="C313" s="9">
        <f>IF($A313="","",$J312)</f>
        <v/>
      </c>
      <c r="D313" s="9">
        <f>IF($A313="","",IFERROR(MIN($H$3,$C313+$I313),""))</f>
        <v/>
      </c>
      <c r="E313" s="9">
        <f>IF($A313="","",IF($D$4="",0,$D$4))</f>
        <v/>
      </c>
      <c r="F313" s="16" t="n"/>
      <c r="G313" s="9">
        <f>IF($A313="","",IFERROR(MIN($C313+$I313,$D313+$E313+IF($F313="",0,$F313)),""))</f>
        <v/>
      </c>
      <c r="H313" s="9">
        <f>IF($A313="","",IFERROR(MAX(0,$G313-$I313),""))</f>
        <v/>
      </c>
      <c r="I313" s="9">
        <f>IF($A313="","",IFERROR($C313*$D$3/12,""))</f>
        <v/>
      </c>
      <c r="J313" s="9">
        <f>IF($A313="","",IFERROR(MAX(0,$C313-$H313),""))</f>
        <v/>
      </c>
      <c r="K313" s="14" t="n"/>
    </row>
    <row r="314">
      <c r="A314" s="29">
        <f>IF(OR($B$3="",$D$3="",$F$3="",$H$3="",$B$4="",308&gt;$F$3,$J313="",IFERROR($J313&lt;=0,TRUE)),"",308)</f>
        <v/>
      </c>
      <c r="B314" s="21">
        <f>IF($A314="","",IFERROR(EDATE($B$4,$A314-1),""))</f>
        <v/>
      </c>
      <c r="C314" s="10">
        <f>IF($A314="","",$J313)</f>
        <v/>
      </c>
      <c r="D314" s="10">
        <f>IF($A314="","",IFERROR(MIN($H$3,$C314+$I314),""))</f>
        <v/>
      </c>
      <c r="E314" s="10">
        <f>IF($A314="","",IF($D$4="",0,$D$4))</f>
        <v/>
      </c>
      <c r="F314" s="16" t="n"/>
      <c r="G314" s="10">
        <f>IF($A314="","",IFERROR(MIN($C314+$I314,$D314+$E314+IF($F314="",0,$F314)),""))</f>
        <v/>
      </c>
      <c r="H314" s="10">
        <f>IF($A314="","",IFERROR(MAX(0,$G314-$I314),""))</f>
        <v/>
      </c>
      <c r="I314" s="10">
        <f>IF($A314="","",IFERROR($C314*$D$3/12,""))</f>
        <v/>
      </c>
      <c r="J314" s="10">
        <f>IF($A314="","",IFERROR(MAX(0,$C314-$H314),""))</f>
        <v/>
      </c>
      <c r="K314" s="14" t="n"/>
    </row>
    <row r="315">
      <c r="A315" s="28">
        <f>IF(OR($B$3="",$D$3="",$F$3="",$H$3="",$B$4="",309&gt;$F$3,$J314="",IFERROR($J314&lt;=0,TRUE)),"",309)</f>
        <v/>
      </c>
      <c r="B315" s="19">
        <f>IF($A315="","",IFERROR(EDATE($B$4,$A315-1),""))</f>
        <v/>
      </c>
      <c r="C315" s="9">
        <f>IF($A315="","",$J314)</f>
        <v/>
      </c>
      <c r="D315" s="9">
        <f>IF($A315="","",IFERROR(MIN($H$3,$C315+$I315),""))</f>
        <v/>
      </c>
      <c r="E315" s="9">
        <f>IF($A315="","",IF($D$4="",0,$D$4))</f>
        <v/>
      </c>
      <c r="F315" s="16" t="n"/>
      <c r="G315" s="9">
        <f>IF($A315="","",IFERROR(MIN($C315+$I315,$D315+$E315+IF($F315="",0,$F315)),""))</f>
        <v/>
      </c>
      <c r="H315" s="9">
        <f>IF($A315="","",IFERROR(MAX(0,$G315-$I315),""))</f>
        <v/>
      </c>
      <c r="I315" s="9">
        <f>IF($A315="","",IFERROR($C315*$D$3/12,""))</f>
        <v/>
      </c>
      <c r="J315" s="9">
        <f>IF($A315="","",IFERROR(MAX(0,$C315-$H315),""))</f>
        <v/>
      </c>
      <c r="K315" s="14" t="n"/>
    </row>
    <row r="316">
      <c r="A316" s="29">
        <f>IF(OR($B$3="",$D$3="",$F$3="",$H$3="",$B$4="",310&gt;$F$3,$J315="",IFERROR($J315&lt;=0,TRUE)),"",310)</f>
        <v/>
      </c>
      <c r="B316" s="21">
        <f>IF($A316="","",IFERROR(EDATE($B$4,$A316-1),""))</f>
        <v/>
      </c>
      <c r="C316" s="10">
        <f>IF($A316="","",$J315)</f>
        <v/>
      </c>
      <c r="D316" s="10">
        <f>IF($A316="","",IFERROR(MIN($H$3,$C316+$I316),""))</f>
        <v/>
      </c>
      <c r="E316" s="10">
        <f>IF($A316="","",IF($D$4="",0,$D$4))</f>
        <v/>
      </c>
      <c r="F316" s="16" t="n"/>
      <c r="G316" s="10">
        <f>IF($A316="","",IFERROR(MIN($C316+$I316,$D316+$E316+IF($F316="",0,$F316)),""))</f>
        <v/>
      </c>
      <c r="H316" s="10">
        <f>IF($A316="","",IFERROR(MAX(0,$G316-$I316),""))</f>
        <v/>
      </c>
      <c r="I316" s="10">
        <f>IF($A316="","",IFERROR($C316*$D$3/12,""))</f>
        <v/>
      </c>
      <c r="J316" s="10">
        <f>IF($A316="","",IFERROR(MAX(0,$C316-$H316),""))</f>
        <v/>
      </c>
      <c r="K316" s="14" t="n"/>
    </row>
    <row r="317">
      <c r="A317" s="28">
        <f>IF(OR($B$3="",$D$3="",$F$3="",$H$3="",$B$4="",311&gt;$F$3,$J316="",IFERROR($J316&lt;=0,TRUE)),"",311)</f>
        <v/>
      </c>
      <c r="B317" s="19">
        <f>IF($A317="","",IFERROR(EDATE($B$4,$A317-1),""))</f>
        <v/>
      </c>
      <c r="C317" s="9">
        <f>IF($A317="","",$J316)</f>
        <v/>
      </c>
      <c r="D317" s="9">
        <f>IF($A317="","",IFERROR(MIN($H$3,$C317+$I317),""))</f>
        <v/>
      </c>
      <c r="E317" s="9">
        <f>IF($A317="","",IF($D$4="",0,$D$4))</f>
        <v/>
      </c>
      <c r="F317" s="16" t="n"/>
      <c r="G317" s="9">
        <f>IF($A317="","",IFERROR(MIN($C317+$I317,$D317+$E317+IF($F317="",0,$F317)),""))</f>
        <v/>
      </c>
      <c r="H317" s="9">
        <f>IF($A317="","",IFERROR(MAX(0,$G317-$I317),""))</f>
        <v/>
      </c>
      <c r="I317" s="9">
        <f>IF($A317="","",IFERROR($C317*$D$3/12,""))</f>
        <v/>
      </c>
      <c r="J317" s="9">
        <f>IF($A317="","",IFERROR(MAX(0,$C317-$H317),""))</f>
        <v/>
      </c>
      <c r="K317" s="14" t="n"/>
    </row>
    <row r="318">
      <c r="A318" s="29">
        <f>IF(OR($B$3="",$D$3="",$F$3="",$H$3="",$B$4="",312&gt;$F$3,$J317="",IFERROR($J317&lt;=0,TRUE)),"",312)</f>
        <v/>
      </c>
      <c r="B318" s="21">
        <f>IF($A318="","",IFERROR(EDATE($B$4,$A318-1),""))</f>
        <v/>
      </c>
      <c r="C318" s="10">
        <f>IF($A318="","",$J317)</f>
        <v/>
      </c>
      <c r="D318" s="10">
        <f>IF($A318="","",IFERROR(MIN($H$3,$C318+$I318),""))</f>
        <v/>
      </c>
      <c r="E318" s="10">
        <f>IF($A318="","",IF($D$4="",0,$D$4))</f>
        <v/>
      </c>
      <c r="F318" s="16" t="n"/>
      <c r="G318" s="10">
        <f>IF($A318="","",IFERROR(MIN($C318+$I318,$D318+$E318+IF($F318="",0,$F318)),""))</f>
        <v/>
      </c>
      <c r="H318" s="10">
        <f>IF($A318="","",IFERROR(MAX(0,$G318-$I318),""))</f>
        <v/>
      </c>
      <c r="I318" s="10">
        <f>IF($A318="","",IFERROR($C318*$D$3/12,""))</f>
        <v/>
      </c>
      <c r="J318" s="10">
        <f>IF($A318="","",IFERROR(MAX(0,$C318-$H318),""))</f>
        <v/>
      </c>
      <c r="K318" s="14" t="n"/>
    </row>
    <row r="319">
      <c r="A319" s="28">
        <f>IF(OR($B$3="",$D$3="",$F$3="",$H$3="",$B$4="",313&gt;$F$3,$J318="",IFERROR($J318&lt;=0,TRUE)),"",313)</f>
        <v/>
      </c>
      <c r="B319" s="19">
        <f>IF($A319="","",IFERROR(EDATE($B$4,$A319-1),""))</f>
        <v/>
      </c>
      <c r="C319" s="9">
        <f>IF($A319="","",$J318)</f>
        <v/>
      </c>
      <c r="D319" s="9">
        <f>IF($A319="","",IFERROR(MIN($H$3,$C319+$I319),""))</f>
        <v/>
      </c>
      <c r="E319" s="9">
        <f>IF($A319="","",IF($D$4="",0,$D$4))</f>
        <v/>
      </c>
      <c r="F319" s="16" t="n"/>
      <c r="G319" s="9">
        <f>IF($A319="","",IFERROR(MIN($C319+$I319,$D319+$E319+IF($F319="",0,$F319)),""))</f>
        <v/>
      </c>
      <c r="H319" s="9">
        <f>IF($A319="","",IFERROR(MAX(0,$G319-$I319),""))</f>
        <v/>
      </c>
      <c r="I319" s="9">
        <f>IF($A319="","",IFERROR($C319*$D$3/12,""))</f>
        <v/>
      </c>
      <c r="J319" s="9">
        <f>IF($A319="","",IFERROR(MAX(0,$C319-$H319),""))</f>
        <v/>
      </c>
      <c r="K319" s="14" t="n"/>
    </row>
    <row r="320">
      <c r="A320" s="29">
        <f>IF(OR($B$3="",$D$3="",$F$3="",$H$3="",$B$4="",314&gt;$F$3,$J319="",IFERROR($J319&lt;=0,TRUE)),"",314)</f>
        <v/>
      </c>
      <c r="B320" s="21">
        <f>IF($A320="","",IFERROR(EDATE($B$4,$A320-1),""))</f>
        <v/>
      </c>
      <c r="C320" s="10">
        <f>IF($A320="","",$J319)</f>
        <v/>
      </c>
      <c r="D320" s="10">
        <f>IF($A320="","",IFERROR(MIN($H$3,$C320+$I320),""))</f>
        <v/>
      </c>
      <c r="E320" s="10">
        <f>IF($A320="","",IF($D$4="",0,$D$4))</f>
        <v/>
      </c>
      <c r="F320" s="16" t="n"/>
      <c r="G320" s="10">
        <f>IF($A320="","",IFERROR(MIN($C320+$I320,$D320+$E320+IF($F320="",0,$F320)),""))</f>
        <v/>
      </c>
      <c r="H320" s="10">
        <f>IF($A320="","",IFERROR(MAX(0,$G320-$I320),""))</f>
        <v/>
      </c>
      <c r="I320" s="10">
        <f>IF($A320="","",IFERROR($C320*$D$3/12,""))</f>
        <v/>
      </c>
      <c r="J320" s="10">
        <f>IF($A320="","",IFERROR(MAX(0,$C320-$H320),""))</f>
        <v/>
      </c>
      <c r="K320" s="14" t="n"/>
    </row>
    <row r="321">
      <c r="A321" s="28">
        <f>IF(OR($B$3="",$D$3="",$F$3="",$H$3="",$B$4="",315&gt;$F$3,$J320="",IFERROR($J320&lt;=0,TRUE)),"",315)</f>
        <v/>
      </c>
      <c r="B321" s="19">
        <f>IF($A321="","",IFERROR(EDATE($B$4,$A321-1),""))</f>
        <v/>
      </c>
      <c r="C321" s="9">
        <f>IF($A321="","",$J320)</f>
        <v/>
      </c>
      <c r="D321" s="9">
        <f>IF($A321="","",IFERROR(MIN($H$3,$C321+$I321),""))</f>
        <v/>
      </c>
      <c r="E321" s="9">
        <f>IF($A321="","",IF($D$4="",0,$D$4))</f>
        <v/>
      </c>
      <c r="F321" s="16" t="n"/>
      <c r="G321" s="9">
        <f>IF($A321="","",IFERROR(MIN($C321+$I321,$D321+$E321+IF($F321="",0,$F321)),""))</f>
        <v/>
      </c>
      <c r="H321" s="9">
        <f>IF($A321="","",IFERROR(MAX(0,$G321-$I321),""))</f>
        <v/>
      </c>
      <c r="I321" s="9">
        <f>IF($A321="","",IFERROR($C321*$D$3/12,""))</f>
        <v/>
      </c>
      <c r="J321" s="9">
        <f>IF($A321="","",IFERROR(MAX(0,$C321-$H321),""))</f>
        <v/>
      </c>
      <c r="K321" s="14" t="n"/>
    </row>
    <row r="322">
      <c r="A322" s="29">
        <f>IF(OR($B$3="",$D$3="",$F$3="",$H$3="",$B$4="",316&gt;$F$3,$J321="",IFERROR($J321&lt;=0,TRUE)),"",316)</f>
        <v/>
      </c>
      <c r="B322" s="21">
        <f>IF($A322="","",IFERROR(EDATE($B$4,$A322-1),""))</f>
        <v/>
      </c>
      <c r="C322" s="10">
        <f>IF($A322="","",$J321)</f>
        <v/>
      </c>
      <c r="D322" s="10">
        <f>IF($A322="","",IFERROR(MIN($H$3,$C322+$I322),""))</f>
        <v/>
      </c>
      <c r="E322" s="10">
        <f>IF($A322="","",IF($D$4="",0,$D$4))</f>
        <v/>
      </c>
      <c r="F322" s="16" t="n"/>
      <c r="G322" s="10">
        <f>IF($A322="","",IFERROR(MIN($C322+$I322,$D322+$E322+IF($F322="",0,$F322)),""))</f>
        <v/>
      </c>
      <c r="H322" s="10">
        <f>IF($A322="","",IFERROR(MAX(0,$G322-$I322),""))</f>
        <v/>
      </c>
      <c r="I322" s="10">
        <f>IF($A322="","",IFERROR($C322*$D$3/12,""))</f>
        <v/>
      </c>
      <c r="J322" s="10">
        <f>IF($A322="","",IFERROR(MAX(0,$C322-$H322),""))</f>
        <v/>
      </c>
      <c r="K322" s="14" t="n"/>
    </row>
    <row r="323">
      <c r="A323" s="28">
        <f>IF(OR($B$3="",$D$3="",$F$3="",$H$3="",$B$4="",317&gt;$F$3,$J322="",IFERROR($J322&lt;=0,TRUE)),"",317)</f>
        <v/>
      </c>
      <c r="B323" s="19">
        <f>IF($A323="","",IFERROR(EDATE($B$4,$A323-1),""))</f>
        <v/>
      </c>
      <c r="C323" s="9">
        <f>IF($A323="","",$J322)</f>
        <v/>
      </c>
      <c r="D323" s="9">
        <f>IF($A323="","",IFERROR(MIN($H$3,$C323+$I323),""))</f>
        <v/>
      </c>
      <c r="E323" s="9">
        <f>IF($A323="","",IF($D$4="",0,$D$4))</f>
        <v/>
      </c>
      <c r="F323" s="16" t="n"/>
      <c r="G323" s="9">
        <f>IF($A323="","",IFERROR(MIN($C323+$I323,$D323+$E323+IF($F323="",0,$F323)),""))</f>
        <v/>
      </c>
      <c r="H323" s="9">
        <f>IF($A323="","",IFERROR(MAX(0,$G323-$I323),""))</f>
        <v/>
      </c>
      <c r="I323" s="9">
        <f>IF($A323="","",IFERROR($C323*$D$3/12,""))</f>
        <v/>
      </c>
      <c r="J323" s="9">
        <f>IF($A323="","",IFERROR(MAX(0,$C323-$H323),""))</f>
        <v/>
      </c>
      <c r="K323" s="14" t="n"/>
    </row>
    <row r="324">
      <c r="A324" s="29">
        <f>IF(OR($B$3="",$D$3="",$F$3="",$H$3="",$B$4="",318&gt;$F$3,$J323="",IFERROR($J323&lt;=0,TRUE)),"",318)</f>
        <v/>
      </c>
      <c r="B324" s="21">
        <f>IF($A324="","",IFERROR(EDATE($B$4,$A324-1),""))</f>
        <v/>
      </c>
      <c r="C324" s="10">
        <f>IF($A324="","",$J323)</f>
        <v/>
      </c>
      <c r="D324" s="10">
        <f>IF($A324="","",IFERROR(MIN($H$3,$C324+$I324),""))</f>
        <v/>
      </c>
      <c r="E324" s="10">
        <f>IF($A324="","",IF($D$4="",0,$D$4))</f>
        <v/>
      </c>
      <c r="F324" s="16" t="n"/>
      <c r="G324" s="10">
        <f>IF($A324="","",IFERROR(MIN($C324+$I324,$D324+$E324+IF($F324="",0,$F324)),""))</f>
        <v/>
      </c>
      <c r="H324" s="10">
        <f>IF($A324="","",IFERROR(MAX(0,$G324-$I324),""))</f>
        <v/>
      </c>
      <c r="I324" s="10">
        <f>IF($A324="","",IFERROR($C324*$D$3/12,""))</f>
        <v/>
      </c>
      <c r="J324" s="10">
        <f>IF($A324="","",IFERROR(MAX(0,$C324-$H324),""))</f>
        <v/>
      </c>
      <c r="K324" s="14" t="n"/>
    </row>
    <row r="325">
      <c r="A325" s="28">
        <f>IF(OR($B$3="",$D$3="",$F$3="",$H$3="",$B$4="",319&gt;$F$3,$J324="",IFERROR($J324&lt;=0,TRUE)),"",319)</f>
        <v/>
      </c>
      <c r="B325" s="19">
        <f>IF($A325="","",IFERROR(EDATE($B$4,$A325-1),""))</f>
        <v/>
      </c>
      <c r="C325" s="9">
        <f>IF($A325="","",$J324)</f>
        <v/>
      </c>
      <c r="D325" s="9">
        <f>IF($A325="","",IFERROR(MIN($H$3,$C325+$I325),""))</f>
        <v/>
      </c>
      <c r="E325" s="9">
        <f>IF($A325="","",IF($D$4="",0,$D$4))</f>
        <v/>
      </c>
      <c r="F325" s="16" t="n"/>
      <c r="G325" s="9">
        <f>IF($A325="","",IFERROR(MIN($C325+$I325,$D325+$E325+IF($F325="",0,$F325)),""))</f>
        <v/>
      </c>
      <c r="H325" s="9">
        <f>IF($A325="","",IFERROR(MAX(0,$G325-$I325),""))</f>
        <v/>
      </c>
      <c r="I325" s="9">
        <f>IF($A325="","",IFERROR($C325*$D$3/12,""))</f>
        <v/>
      </c>
      <c r="J325" s="9">
        <f>IF($A325="","",IFERROR(MAX(0,$C325-$H325),""))</f>
        <v/>
      </c>
      <c r="K325" s="14" t="n"/>
    </row>
    <row r="326">
      <c r="A326" s="29">
        <f>IF(OR($B$3="",$D$3="",$F$3="",$H$3="",$B$4="",320&gt;$F$3,$J325="",IFERROR($J325&lt;=0,TRUE)),"",320)</f>
        <v/>
      </c>
      <c r="B326" s="21">
        <f>IF($A326="","",IFERROR(EDATE($B$4,$A326-1),""))</f>
        <v/>
      </c>
      <c r="C326" s="10">
        <f>IF($A326="","",$J325)</f>
        <v/>
      </c>
      <c r="D326" s="10">
        <f>IF($A326="","",IFERROR(MIN($H$3,$C326+$I326),""))</f>
        <v/>
      </c>
      <c r="E326" s="10">
        <f>IF($A326="","",IF($D$4="",0,$D$4))</f>
        <v/>
      </c>
      <c r="F326" s="16" t="n"/>
      <c r="G326" s="10">
        <f>IF($A326="","",IFERROR(MIN($C326+$I326,$D326+$E326+IF($F326="",0,$F326)),""))</f>
        <v/>
      </c>
      <c r="H326" s="10">
        <f>IF($A326="","",IFERROR(MAX(0,$G326-$I326),""))</f>
        <v/>
      </c>
      <c r="I326" s="10">
        <f>IF($A326="","",IFERROR($C326*$D$3/12,""))</f>
        <v/>
      </c>
      <c r="J326" s="10">
        <f>IF($A326="","",IFERROR(MAX(0,$C326-$H326),""))</f>
        <v/>
      </c>
      <c r="K326" s="14" t="n"/>
    </row>
    <row r="327">
      <c r="A327" s="28">
        <f>IF(OR($B$3="",$D$3="",$F$3="",$H$3="",$B$4="",321&gt;$F$3,$J326="",IFERROR($J326&lt;=0,TRUE)),"",321)</f>
        <v/>
      </c>
      <c r="B327" s="19">
        <f>IF($A327="","",IFERROR(EDATE($B$4,$A327-1),""))</f>
        <v/>
      </c>
      <c r="C327" s="9">
        <f>IF($A327="","",$J326)</f>
        <v/>
      </c>
      <c r="D327" s="9">
        <f>IF($A327="","",IFERROR(MIN($H$3,$C327+$I327),""))</f>
        <v/>
      </c>
      <c r="E327" s="9">
        <f>IF($A327="","",IF($D$4="",0,$D$4))</f>
        <v/>
      </c>
      <c r="F327" s="16" t="n"/>
      <c r="G327" s="9">
        <f>IF($A327="","",IFERROR(MIN($C327+$I327,$D327+$E327+IF($F327="",0,$F327)),""))</f>
        <v/>
      </c>
      <c r="H327" s="9">
        <f>IF($A327="","",IFERROR(MAX(0,$G327-$I327),""))</f>
        <v/>
      </c>
      <c r="I327" s="9">
        <f>IF($A327="","",IFERROR($C327*$D$3/12,""))</f>
        <v/>
      </c>
      <c r="J327" s="9">
        <f>IF($A327="","",IFERROR(MAX(0,$C327-$H327),""))</f>
        <v/>
      </c>
      <c r="K327" s="14" t="n"/>
    </row>
    <row r="328">
      <c r="A328" s="29">
        <f>IF(OR($B$3="",$D$3="",$F$3="",$H$3="",$B$4="",322&gt;$F$3,$J327="",IFERROR($J327&lt;=0,TRUE)),"",322)</f>
        <v/>
      </c>
      <c r="B328" s="21">
        <f>IF($A328="","",IFERROR(EDATE($B$4,$A328-1),""))</f>
        <v/>
      </c>
      <c r="C328" s="10">
        <f>IF($A328="","",$J327)</f>
        <v/>
      </c>
      <c r="D328" s="10">
        <f>IF($A328="","",IFERROR(MIN($H$3,$C328+$I328),""))</f>
        <v/>
      </c>
      <c r="E328" s="10">
        <f>IF($A328="","",IF($D$4="",0,$D$4))</f>
        <v/>
      </c>
      <c r="F328" s="16" t="n"/>
      <c r="G328" s="10">
        <f>IF($A328="","",IFERROR(MIN($C328+$I328,$D328+$E328+IF($F328="",0,$F328)),""))</f>
        <v/>
      </c>
      <c r="H328" s="10">
        <f>IF($A328="","",IFERROR(MAX(0,$G328-$I328),""))</f>
        <v/>
      </c>
      <c r="I328" s="10">
        <f>IF($A328="","",IFERROR($C328*$D$3/12,""))</f>
        <v/>
      </c>
      <c r="J328" s="10">
        <f>IF($A328="","",IFERROR(MAX(0,$C328-$H328),""))</f>
        <v/>
      </c>
      <c r="K328" s="14" t="n"/>
    </row>
    <row r="329">
      <c r="A329" s="28">
        <f>IF(OR($B$3="",$D$3="",$F$3="",$H$3="",$B$4="",323&gt;$F$3,$J328="",IFERROR($J328&lt;=0,TRUE)),"",323)</f>
        <v/>
      </c>
      <c r="B329" s="19">
        <f>IF($A329="","",IFERROR(EDATE($B$4,$A329-1),""))</f>
        <v/>
      </c>
      <c r="C329" s="9">
        <f>IF($A329="","",$J328)</f>
        <v/>
      </c>
      <c r="D329" s="9">
        <f>IF($A329="","",IFERROR(MIN($H$3,$C329+$I329),""))</f>
        <v/>
      </c>
      <c r="E329" s="9">
        <f>IF($A329="","",IF($D$4="",0,$D$4))</f>
        <v/>
      </c>
      <c r="F329" s="16" t="n"/>
      <c r="G329" s="9">
        <f>IF($A329="","",IFERROR(MIN($C329+$I329,$D329+$E329+IF($F329="",0,$F329)),""))</f>
        <v/>
      </c>
      <c r="H329" s="9">
        <f>IF($A329="","",IFERROR(MAX(0,$G329-$I329),""))</f>
        <v/>
      </c>
      <c r="I329" s="9">
        <f>IF($A329="","",IFERROR($C329*$D$3/12,""))</f>
        <v/>
      </c>
      <c r="J329" s="9">
        <f>IF($A329="","",IFERROR(MAX(0,$C329-$H329),""))</f>
        <v/>
      </c>
      <c r="K329" s="14" t="n"/>
    </row>
    <row r="330">
      <c r="A330" s="29">
        <f>IF(OR($B$3="",$D$3="",$F$3="",$H$3="",$B$4="",324&gt;$F$3,$J329="",IFERROR($J329&lt;=0,TRUE)),"",324)</f>
        <v/>
      </c>
      <c r="B330" s="21">
        <f>IF($A330="","",IFERROR(EDATE($B$4,$A330-1),""))</f>
        <v/>
      </c>
      <c r="C330" s="10">
        <f>IF($A330="","",$J329)</f>
        <v/>
      </c>
      <c r="D330" s="10">
        <f>IF($A330="","",IFERROR(MIN($H$3,$C330+$I330),""))</f>
        <v/>
      </c>
      <c r="E330" s="10">
        <f>IF($A330="","",IF($D$4="",0,$D$4))</f>
        <v/>
      </c>
      <c r="F330" s="16" t="n"/>
      <c r="G330" s="10">
        <f>IF($A330="","",IFERROR(MIN($C330+$I330,$D330+$E330+IF($F330="",0,$F330)),""))</f>
        <v/>
      </c>
      <c r="H330" s="10">
        <f>IF($A330="","",IFERROR(MAX(0,$G330-$I330),""))</f>
        <v/>
      </c>
      <c r="I330" s="10">
        <f>IF($A330="","",IFERROR($C330*$D$3/12,""))</f>
        <v/>
      </c>
      <c r="J330" s="10">
        <f>IF($A330="","",IFERROR(MAX(0,$C330-$H330),""))</f>
        <v/>
      </c>
      <c r="K330" s="14" t="n"/>
    </row>
    <row r="331">
      <c r="A331" s="28">
        <f>IF(OR($B$3="",$D$3="",$F$3="",$H$3="",$B$4="",325&gt;$F$3,$J330="",IFERROR($J330&lt;=0,TRUE)),"",325)</f>
        <v/>
      </c>
      <c r="B331" s="19">
        <f>IF($A331="","",IFERROR(EDATE($B$4,$A331-1),""))</f>
        <v/>
      </c>
      <c r="C331" s="9">
        <f>IF($A331="","",$J330)</f>
        <v/>
      </c>
      <c r="D331" s="9">
        <f>IF($A331="","",IFERROR(MIN($H$3,$C331+$I331),""))</f>
        <v/>
      </c>
      <c r="E331" s="9">
        <f>IF($A331="","",IF($D$4="",0,$D$4))</f>
        <v/>
      </c>
      <c r="F331" s="16" t="n"/>
      <c r="G331" s="9">
        <f>IF($A331="","",IFERROR(MIN($C331+$I331,$D331+$E331+IF($F331="",0,$F331)),""))</f>
        <v/>
      </c>
      <c r="H331" s="9">
        <f>IF($A331="","",IFERROR(MAX(0,$G331-$I331),""))</f>
        <v/>
      </c>
      <c r="I331" s="9">
        <f>IF($A331="","",IFERROR($C331*$D$3/12,""))</f>
        <v/>
      </c>
      <c r="J331" s="9">
        <f>IF($A331="","",IFERROR(MAX(0,$C331-$H331),""))</f>
        <v/>
      </c>
      <c r="K331" s="14" t="n"/>
    </row>
    <row r="332">
      <c r="A332" s="29">
        <f>IF(OR($B$3="",$D$3="",$F$3="",$H$3="",$B$4="",326&gt;$F$3,$J331="",IFERROR($J331&lt;=0,TRUE)),"",326)</f>
        <v/>
      </c>
      <c r="B332" s="21">
        <f>IF($A332="","",IFERROR(EDATE($B$4,$A332-1),""))</f>
        <v/>
      </c>
      <c r="C332" s="10">
        <f>IF($A332="","",$J331)</f>
        <v/>
      </c>
      <c r="D332" s="10">
        <f>IF($A332="","",IFERROR(MIN($H$3,$C332+$I332),""))</f>
        <v/>
      </c>
      <c r="E332" s="10">
        <f>IF($A332="","",IF($D$4="",0,$D$4))</f>
        <v/>
      </c>
      <c r="F332" s="16" t="n"/>
      <c r="G332" s="10">
        <f>IF($A332="","",IFERROR(MIN($C332+$I332,$D332+$E332+IF($F332="",0,$F332)),""))</f>
        <v/>
      </c>
      <c r="H332" s="10">
        <f>IF($A332="","",IFERROR(MAX(0,$G332-$I332),""))</f>
        <v/>
      </c>
      <c r="I332" s="10">
        <f>IF($A332="","",IFERROR($C332*$D$3/12,""))</f>
        <v/>
      </c>
      <c r="J332" s="10">
        <f>IF($A332="","",IFERROR(MAX(0,$C332-$H332),""))</f>
        <v/>
      </c>
      <c r="K332" s="14" t="n"/>
    </row>
    <row r="333">
      <c r="A333" s="28">
        <f>IF(OR($B$3="",$D$3="",$F$3="",$H$3="",$B$4="",327&gt;$F$3,$J332="",IFERROR($J332&lt;=0,TRUE)),"",327)</f>
        <v/>
      </c>
      <c r="B333" s="19">
        <f>IF($A333="","",IFERROR(EDATE($B$4,$A333-1),""))</f>
        <v/>
      </c>
      <c r="C333" s="9">
        <f>IF($A333="","",$J332)</f>
        <v/>
      </c>
      <c r="D333" s="9">
        <f>IF($A333="","",IFERROR(MIN($H$3,$C333+$I333),""))</f>
        <v/>
      </c>
      <c r="E333" s="9">
        <f>IF($A333="","",IF($D$4="",0,$D$4))</f>
        <v/>
      </c>
      <c r="F333" s="16" t="n"/>
      <c r="G333" s="9">
        <f>IF($A333="","",IFERROR(MIN($C333+$I333,$D333+$E333+IF($F333="",0,$F333)),""))</f>
        <v/>
      </c>
      <c r="H333" s="9">
        <f>IF($A333="","",IFERROR(MAX(0,$G333-$I333),""))</f>
        <v/>
      </c>
      <c r="I333" s="9">
        <f>IF($A333="","",IFERROR($C333*$D$3/12,""))</f>
        <v/>
      </c>
      <c r="J333" s="9">
        <f>IF($A333="","",IFERROR(MAX(0,$C333-$H333),""))</f>
        <v/>
      </c>
      <c r="K333" s="14" t="n"/>
    </row>
    <row r="334">
      <c r="A334" s="29">
        <f>IF(OR($B$3="",$D$3="",$F$3="",$H$3="",$B$4="",328&gt;$F$3,$J333="",IFERROR($J333&lt;=0,TRUE)),"",328)</f>
        <v/>
      </c>
      <c r="B334" s="21">
        <f>IF($A334="","",IFERROR(EDATE($B$4,$A334-1),""))</f>
        <v/>
      </c>
      <c r="C334" s="10">
        <f>IF($A334="","",$J333)</f>
        <v/>
      </c>
      <c r="D334" s="10">
        <f>IF($A334="","",IFERROR(MIN($H$3,$C334+$I334),""))</f>
        <v/>
      </c>
      <c r="E334" s="10">
        <f>IF($A334="","",IF($D$4="",0,$D$4))</f>
        <v/>
      </c>
      <c r="F334" s="16" t="n"/>
      <c r="G334" s="10">
        <f>IF($A334="","",IFERROR(MIN($C334+$I334,$D334+$E334+IF($F334="",0,$F334)),""))</f>
        <v/>
      </c>
      <c r="H334" s="10">
        <f>IF($A334="","",IFERROR(MAX(0,$G334-$I334),""))</f>
        <v/>
      </c>
      <c r="I334" s="10">
        <f>IF($A334="","",IFERROR($C334*$D$3/12,""))</f>
        <v/>
      </c>
      <c r="J334" s="10">
        <f>IF($A334="","",IFERROR(MAX(0,$C334-$H334),""))</f>
        <v/>
      </c>
      <c r="K334" s="14" t="n"/>
    </row>
    <row r="335">
      <c r="A335" s="28">
        <f>IF(OR($B$3="",$D$3="",$F$3="",$H$3="",$B$4="",329&gt;$F$3,$J334="",IFERROR($J334&lt;=0,TRUE)),"",329)</f>
        <v/>
      </c>
      <c r="B335" s="19">
        <f>IF($A335="","",IFERROR(EDATE($B$4,$A335-1),""))</f>
        <v/>
      </c>
      <c r="C335" s="9">
        <f>IF($A335="","",$J334)</f>
        <v/>
      </c>
      <c r="D335" s="9">
        <f>IF($A335="","",IFERROR(MIN($H$3,$C335+$I335),""))</f>
        <v/>
      </c>
      <c r="E335" s="9">
        <f>IF($A335="","",IF($D$4="",0,$D$4))</f>
        <v/>
      </c>
      <c r="F335" s="16" t="n"/>
      <c r="G335" s="9">
        <f>IF($A335="","",IFERROR(MIN($C335+$I335,$D335+$E335+IF($F335="",0,$F335)),""))</f>
        <v/>
      </c>
      <c r="H335" s="9">
        <f>IF($A335="","",IFERROR(MAX(0,$G335-$I335),""))</f>
        <v/>
      </c>
      <c r="I335" s="9">
        <f>IF($A335="","",IFERROR($C335*$D$3/12,""))</f>
        <v/>
      </c>
      <c r="J335" s="9">
        <f>IF($A335="","",IFERROR(MAX(0,$C335-$H335),""))</f>
        <v/>
      </c>
      <c r="K335" s="14" t="n"/>
    </row>
    <row r="336">
      <c r="A336" s="29">
        <f>IF(OR($B$3="",$D$3="",$F$3="",$H$3="",$B$4="",330&gt;$F$3,$J335="",IFERROR($J335&lt;=0,TRUE)),"",330)</f>
        <v/>
      </c>
      <c r="B336" s="21">
        <f>IF($A336="","",IFERROR(EDATE($B$4,$A336-1),""))</f>
        <v/>
      </c>
      <c r="C336" s="10">
        <f>IF($A336="","",$J335)</f>
        <v/>
      </c>
      <c r="D336" s="10">
        <f>IF($A336="","",IFERROR(MIN($H$3,$C336+$I336),""))</f>
        <v/>
      </c>
      <c r="E336" s="10">
        <f>IF($A336="","",IF($D$4="",0,$D$4))</f>
        <v/>
      </c>
      <c r="F336" s="16" t="n"/>
      <c r="G336" s="10">
        <f>IF($A336="","",IFERROR(MIN($C336+$I336,$D336+$E336+IF($F336="",0,$F336)),""))</f>
        <v/>
      </c>
      <c r="H336" s="10">
        <f>IF($A336="","",IFERROR(MAX(0,$G336-$I336),""))</f>
        <v/>
      </c>
      <c r="I336" s="10">
        <f>IF($A336="","",IFERROR($C336*$D$3/12,""))</f>
        <v/>
      </c>
      <c r="J336" s="10">
        <f>IF($A336="","",IFERROR(MAX(0,$C336-$H336),""))</f>
        <v/>
      </c>
      <c r="K336" s="14" t="n"/>
    </row>
    <row r="337">
      <c r="A337" s="28">
        <f>IF(OR($B$3="",$D$3="",$F$3="",$H$3="",$B$4="",331&gt;$F$3,$J336="",IFERROR($J336&lt;=0,TRUE)),"",331)</f>
        <v/>
      </c>
      <c r="B337" s="19">
        <f>IF($A337="","",IFERROR(EDATE($B$4,$A337-1),""))</f>
        <v/>
      </c>
      <c r="C337" s="9">
        <f>IF($A337="","",$J336)</f>
        <v/>
      </c>
      <c r="D337" s="9">
        <f>IF($A337="","",IFERROR(MIN($H$3,$C337+$I337),""))</f>
        <v/>
      </c>
      <c r="E337" s="9">
        <f>IF($A337="","",IF($D$4="",0,$D$4))</f>
        <v/>
      </c>
      <c r="F337" s="16" t="n"/>
      <c r="G337" s="9">
        <f>IF($A337="","",IFERROR(MIN($C337+$I337,$D337+$E337+IF($F337="",0,$F337)),""))</f>
        <v/>
      </c>
      <c r="H337" s="9">
        <f>IF($A337="","",IFERROR(MAX(0,$G337-$I337),""))</f>
        <v/>
      </c>
      <c r="I337" s="9">
        <f>IF($A337="","",IFERROR($C337*$D$3/12,""))</f>
        <v/>
      </c>
      <c r="J337" s="9">
        <f>IF($A337="","",IFERROR(MAX(0,$C337-$H337),""))</f>
        <v/>
      </c>
      <c r="K337" s="14" t="n"/>
    </row>
    <row r="338">
      <c r="A338" s="29">
        <f>IF(OR($B$3="",$D$3="",$F$3="",$H$3="",$B$4="",332&gt;$F$3,$J337="",IFERROR($J337&lt;=0,TRUE)),"",332)</f>
        <v/>
      </c>
      <c r="B338" s="21">
        <f>IF($A338="","",IFERROR(EDATE($B$4,$A338-1),""))</f>
        <v/>
      </c>
      <c r="C338" s="10">
        <f>IF($A338="","",$J337)</f>
        <v/>
      </c>
      <c r="D338" s="10">
        <f>IF($A338="","",IFERROR(MIN($H$3,$C338+$I338),""))</f>
        <v/>
      </c>
      <c r="E338" s="10">
        <f>IF($A338="","",IF($D$4="",0,$D$4))</f>
        <v/>
      </c>
      <c r="F338" s="16" t="n"/>
      <c r="G338" s="10">
        <f>IF($A338="","",IFERROR(MIN($C338+$I338,$D338+$E338+IF($F338="",0,$F338)),""))</f>
        <v/>
      </c>
      <c r="H338" s="10">
        <f>IF($A338="","",IFERROR(MAX(0,$G338-$I338),""))</f>
        <v/>
      </c>
      <c r="I338" s="10">
        <f>IF($A338="","",IFERROR($C338*$D$3/12,""))</f>
        <v/>
      </c>
      <c r="J338" s="10">
        <f>IF($A338="","",IFERROR(MAX(0,$C338-$H338),""))</f>
        <v/>
      </c>
      <c r="K338" s="14" t="n"/>
    </row>
    <row r="339">
      <c r="A339" s="28">
        <f>IF(OR($B$3="",$D$3="",$F$3="",$H$3="",$B$4="",333&gt;$F$3,$J338="",IFERROR($J338&lt;=0,TRUE)),"",333)</f>
        <v/>
      </c>
      <c r="B339" s="19">
        <f>IF($A339="","",IFERROR(EDATE($B$4,$A339-1),""))</f>
        <v/>
      </c>
      <c r="C339" s="9">
        <f>IF($A339="","",$J338)</f>
        <v/>
      </c>
      <c r="D339" s="9">
        <f>IF($A339="","",IFERROR(MIN($H$3,$C339+$I339),""))</f>
        <v/>
      </c>
      <c r="E339" s="9">
        <f>IF($A339="","",IF($D$4="",0,$D$4))</f>
        <v/>
      </c>
      <c r="F339" s="16" t="n"/>
      <c r="G339" s="9">
        <f>IF($A339="","",IFERROR(MIN($C339+$I339,$D339+$E339+IF($F339="",0,$F339)),""))</f>
        <v/>
      </c>
      <c r="H339" s="9">
        <f>IF($A339="","",IFERROR(MAX(0,$G339-$I339),""))</f>
        <v/>
      </c>
      <c r="I339" s="9">
        <f>IF($A339="","",IFERROR($C339*$D$3/12,""))</f>
        <v/>
      </c>
      <c r="J339" s="9">
        <f>IF($A339="","",IFERROR(MAX(0,$C339-$H339),""))</f>
        <v/>
      </c>
      <c r="K339" s="14" t="n"/>
    </row>
    <row r="340">
      <c r="A340" s="29">
        <f>IF(OR($B$3="",$D$3="",$F$3="",$H$3="",$B$4="",334&gt;$F$3,$J339="",IFERROR($J339&lt;=0,TRUE)),"",334)</f>
        <v/>
      </c>
      <c r="B340" s="21">
        <f>IF($A340="","",IFERROR(EDATE($B$4,$A340-1),""))</f>
        <v/>
      </c>
      <c r="C340" s="10">
        <f>IF($A340="","",$J339)</f>
        <v/>
      </c>
      <c r="D340" s="10">
        <f>IF($A340="","",IFERROR(MIN($H$3,$C340+$I340),""))</f>
        <v/>
      </c>
      <c r="E340" s="10">
        <f>IF($A340="","",IF($D$4="",0,$D$4))</f>
        <v/>
      </c>
      <c r="F340" s="16" t="n"/>
      <c r="G340" s="10">
        <f>IF($A340="","",IFERROR(MIN($C340+$I340,$D340+$E340+IF($F340="",0,$F340)),""))</f>
        <v/>
      </c>
      <c r="H340" s="10">
        <f>IF($A340="","",IFERROR(MAX(0,$G340-$I340),""))</f>
        <v/>
      </c>
      <c r="I340" s="10">
        <f>IF($A340="","",IFERROR($C340*$D$3/12,""))</f>
        <v/>
      </c>
      <c r="J340" s="10">
        <f>IF($A340="","",IFERROR(MAX(0,$C340-$H340),""))</f>
        <v/>
      </c>
      <c r="K340" s="14" t="n"/>
    </row>
    <row r="341">
      <c r="A341" s="28">
        <f>IF(OR($B$3="",$D$3="",$F$3="",$H$3="",$B$4="",335&gt;$F$3,$J340="",IFERROR($J340&lt;=0,TRUE)),"",335)</f>
        <v/>
      </c>
      <c r="B341" s="19">
        <f>IF($A341="","",IFERROR(EDATE($B$4,$A341-1),""))</f>
        <v/>
      </c>
      <c r="C341" s="9">
        <f>IF($A341="","",$J340)</f>
        <v/>
      </c>
      <c r="D341" s="9">
        <f>IF($A341="","",IFERROR(MIN($H$3,$C341+$I341),""))</f>
        <v/>
      </c>
      <c r="E341" s="9">
        <f>IF($A341="","",IF($D$4="",0,$D$4))</f>
        <v/>
      </c>
      <c r="F341" s="16" t="n"/>
      <c r="G341" s="9">
        <f>IF($A341="","",IFERROR(MIN($C341+$I341,$D341+$E341+IF($F341="",0,$F341)),""))</f>
        <v/>
      </c>
      <c r="H341" s="9">
        <f>IF($A341="","",IFERROR(MAX(0,$G341-$I341),""))</f>
        <v/>
      </c>
      <c r="I341" s="9">
        <f>IF($A341="","",IFERROR($C341*$D$3/12,""))</f>
        <v/>
      </c>
      <c r="J341" s="9">
        <f>IF($A341="","",IFERROR(MAX(0,$C341-$H341),""))</f>
        <v/>
      </c>
      <c r="K341" s="14" t="n"/>
    </row>
    <row r="342">
      <c r="A342" s="29">
        <f>IF(OR($B$3="",$D$3="",$F$3="",$H$3="",$B$4="",336&gt;$F$3,$J341="",IFERROR($J341&lt;=0,TRUE)),"",336)</f>
        <v/>
      </c>
      <c r="B342" s="21">
        <f>IF($A342="","",IFERROR(EDATE($B$4,$A342-1),""))</f>
        <v/>
      </c>
      <c r="C342" s="10">
        <f>IF($A342="","",$J341)</f>
        <v/>
      </c>
      <c r="D342" s="10">
        <f>IF($A342="","",IFERROR(MIN($H$3,$C342+$I342),""))</f>
        <v/>
      </c>
      <c r="E342" s="10">
        <f>IF($A342="","",IF($D$4="",0,$D$4))</f>
        <v/>
      </c>
      <c r="F342" s="16" t="n"/>
      <c r="G342" s="10">
        <f>IF($A342="","",IFERROR(MIN($C342+$I342,$D342+$E342+IF($F342="",0,$F342)),""))</f>
        <v/>
      </c>
      <c r="H342" s="10">
        <f>IF($A342="","",IFERROR(MAX(0,$G342-$I342),""))</f>
        <v/>
      </c>
      <c r="I342" s="10">
        <f>IF($A342="","",IFERROR($C342*$D$3/12,""))</f>
        <v/>
      </c>
      <c r="J342" s="10">
        <f>IF($A342="","",IFERROR(MAX(0,$C342-$H342),""))</f>
        <v/>
      </c>
      <c r="K342" s="14" t="n"/>
    </row>
    <row r="343">
      <c r="A343" s="28">
        <f>IF(OR($B$3="",$D$3="",$F$3="",$H$3="",$B$4="",337&gt;$F$3,$J342="",IFERROR($J342&lt;=0,TRUE)),"",337)</f>
        <v/>
      </c>
      <c r="B343" s="19">
        <f>IF($A343="","",IFERROR(EDATE($B$4,$A343-1),""))</f>
        <v/>
      </c>
      <c r="C343" s="9">
        <f>IF($A343="","",$J342)</f>
        <v/>
      </c>
      <c r="D343" s="9">
        <f>IF($A343="","",IFERROR(MIN($H$3,$C343+$I343),""))</f>
        <v/>
      </c>
      <c r="E343" s="9">
        <f>IF($A343="","",IF($D$4="",0,$D$4))</f>
        <v/>
      </c>
      <c r="F343" s="16" t="n"/>
      <c r="G343" s="9">
        <f>IF($A343="","",IFERROR(MIN($C343+$I343,$D343+$E343+IF($F343="",0,$F343)),""))</f>
        <v/>
      </c>
      <c r="H343" s="9">
        <f>IF($A343="","",IFERROR(MAX(0,$G343-$I343),""))</f>
        <v/>
      </c>
      <c r="I343" s="9">
        <f>IF($A343="","",IFERROR($C343*$D$3/12,""))</f>
        <v/>
      </c>
      <c r="J343" s="9">
        <f>IF($A343="","",IFERROR(MAX(0,$C343-$H343),""))</f>
        <v/>
      </c>
      <c r="K343" s="14" t="n"/>
    </row>
    <row r="344">
      <c r="A344" s="29">
        <f>IF(OR($B$3="",$D$3="",$F$3="",$H$3="",$B$4="",338&gt;$F$3,$J343="",IFERROR($J343&lt;=0,TRUE)),"",338)</f>
        <v/>
      </c>
      <c r="B344" s="21">
        <f>IF($A344="","",IFERROR(EDATE($B$4,$A344-1),""))</f>
        <v/>
      </c>
      <c r="C344" s="10">
        <f>IF($A344="","",$J343)</f>
        <v/>
      </c>
      <c r="D344" s="10">
        <f>IF($A344="","",IFERROR(MIN($H$3,$C344+$I344),""))</f>
        <v/>
      </c>
      <c r="E344" s="10">
        <f>IF($A344="","",IF($D$4="",0,$D$4))</f>
        <v/>
      </c>
      <c r="F344" s="16" t="n"/>
      <c r="G344" s="10">
        <f>IF($A344="","",IFERROR(MIN($C344+$I344,$D344+$E344+IF($F344="",0,$F344)),""))</f>
        <v/>
      </c>
      <c r="H344" s="10">
        <f>IF($A344="","",IFERROR(MAX(0,$G344-$I344),""))</f>
        <v/>
      </c>
      <c r="I344" s="10">
        <f>IF($A344="","",IFERROR($C344*$D$3/12,""))</f>
        <v/>
      </c>
      <c r="J344" s="10">
        <f>IF($A344="","",IFERROR(MAX(0,$C344-$H344),""))</f>
        <v/>
      </c>
      <c r="K344" s="14" t="n"/>
    </row>
    <row r="345">
      <c r="A345" s="28">
        <f>IF(OR($B$3="",$D$3="",$F$3="",$H$3="",$B$4="",339&gt;$F$3,$J344="",IFERROR($J344&lt;=0,TRUE)),"",339)</f>
        <v/>
      </c>
      <c r="B345" s="19">
        <f>IF($A345="","",IFERROR(EDATE($B$4,$A345-1),""))</f>
        <v/>
      </c>
      <c r="C345" s="9">
        <f>IF($A345="","",$J344)</f>
        <v/>
      </c>
      <c r="D345" s="9">
        <f>IF($A345="","",IFERROR(MIN($H$3,$C345+$I345),""))</f>
        <v/>
      </c>
      <c r="E345" s="9">
        <f>IF($A345="","",IF($D$4="",0,$D$4))</f>
        <v/>
      </c>
      <c r="F345" s="16" t="n"/>
      <c r="G345" s="9">
        <f>IF($A345="","",IFERROR(MIN($C345+$I345,$D345+$E345+IF($F345="",0,$F345)),""))</f>
        <v/>
      </c>
      <c r="H345" s="9">
        <f>IF($A345="","",IFERROR(MAX(0,$G345-$I345),""))</f>
        <v/>
      </c>
      <c r="I345" s="9">
        <f>IF($A345="","",IFERROR($C345*$D$3/12,""))</f>
        <v/>
      </c>
      <c r="J345" s="9">
        <f>IF($A345="","",IFERROR(MAX(0,$C345-$H345),""))</f>
        <v/>
      </c>
      <c r="K345" s="14" t="n"/>
    </row>
    <row r="346">
      <c r="A346" s="29">
        <f>IF(OR($B$3="",$D$3="",$F$3="",$H$3="",$B$4="",340&gt;$F$3,$J345="",IFERROR($J345&lt;=0,TRUE)),"",340)</f>
        <v/>
      </c>
      <c r="B346" s="21">
        <f>IF($A346="","",IFERROR(EDATE($B$4,$A346-1),""))</f>
        <v/>
      </c>
      <c r="C346" s="10">
        <f>IF($A346="","",$J345)</f>
        <v/>
      </c>
      <c r="D346" s="10">
        <f>IF($A346="","",IFERROR(MIN($H$3,$C346+$I346),""))</f>
        <v/>
      </c>
      <c r="E346" s="10">
        <f>IF($A346="","",IF($D$4="",0,$D$4))</f>
        <v/>
      </c>
      <c r="F346" s="16" t="n"/>
      <c r="G346" s="10">
        <f>IF($A346="","",IFERROR(MIN($C346+$I346,$D346+$E346+IF($F346="",0,$F346)),""))</f>
        <v/>
      </c>
      <c r="H346" s="10">
        <f>IF($A346="","",IFERROR(MAX(0,$G346-$I346),""))</f>
        <v/>
      </c>
      <c r="I346" s="10">
        <f>IF($A346="","",IFERROR($C346*$D$3/12,""))</f>
        <v/>
      </c>
      <c r="J346" s="10">
        <f>IF($A346="","",IFERROR(MAX(0,$C346-$H346),""))</f>
        <v/>
      </c>
      <c r="K346" s="14" t="n"/>
    </row>
    <row r="347">
      <c r="A347" s="28">
        <f>IF(OR($B$3="",$D$3="",$F$3="",$H$3="",$B$4="",341&gt;$F$3,$J346="",IFERROR($J346&lt;=0,TRUE)),"",341)</f>
        <v/>
      </c>
      <c r="B347" s="19">
        <f>IF($A347="","",IFERROR(EDATE($B$4,$A347-1),""))</f>
        <v/>
      </c>
      <c r="C347" s="9">
        <f>IF($A347="","",$J346)</f>
        <v/>
      </c>
      <c r="D347" s="9">
        <f>IF($A347="","",IFERROR(MIN($H$3,$C347+$I347),""))</f>
        <v/>
      </c>
      <c r="E347" s="9">
        <f>IF($A347="","",IF($D$4="",0,$D$4))</f>
        <v/>
      </c>
      <c r="F347" s="16" t="n"/>
      <c r="G347" s="9">
        <f>IF($A347="","",IFERROR(MIN($C347+$I347,$D347+$E347+IF($F347="",0,$F347)),""))</f>
        <v/>
      </c>
      <c r="H347" s="9">
        <f>IF($A347="","",IFERROR(MAX(0,$G347-$I347),""))</f>
        <v/>
      </c>
      <c r="I347" s="9">
        <f>IF($A347="","",IFERROR($C347*$D$3/12,""))</f>
        <v/>
      </c>
      <c r="J347" s="9">
        <f>IF($A347="","",IFERROR(MAX(0,$C347-$H347),""))</f>
        <v/>
      </c>
      <c r="K347" s="14" t="n"/>
    </row>
    <row r="348">
      <c r="A348" s="29">
        <f>IF(OR($B$3="",$D$3="",$F$3="",$H$3="",$B$4="",342&gt;$F$3,$J347="",IFERROR($J347&lt;=0,TRUE)),"",342)</f>
        <v/>
      </c>
      <c r="B348" s="21">
        <f>IF($A348="","",IFERROR(EDATE($B$4,$A348-1),""))</f>
        <v/>
      </c>
      <c r="C348" s="10">
        <f>IF($A348="","",$J347)</f>
        <v/>
      </c>
      <c r="D348" s="10">
        <f>IF($A348="","",IFERROR(MIN($H$3,$C348+$I348),""))</f>
        <v/>
      </c>
      <c r="E348" s="10">
        <f>IF($A348="","",IF($D$4="",0,$D$4))</f>
        <v/>
      </c>
      <c r="F348" s="16" t="n"/>
      <c r="G348" s="10">
        <f>IF($A348="","",IFERROR(MIN($C348+$I348,$D348+$E348+IF($F348="",0,$F348)),""))</f>
        <v/>
      </c>
      <c r="H348" s="10">
        <f>IF($A348="","",IFERROR(MAX(0,$G348-$I348),""))</f>
        <v/>
      </c>
      <c r="I348" s="10">
        <f>IF($A348="","",IFERROR($C348*$D$3/12,""))</f>
        <v/>
      </c>
      <c r="J348" s="10">
        <f>IF($A348="","",IFERROR(MAX(0,$C348-$H348),""))</f>
        <v/>
      </c>
      <c r="K348" s="14" t="n"/>
    </row>
    <row r="349">
      <c r="A349" s="28">
        <f>IF(OR($B$3="",$D$3="",$F$3="",$H$3="",$B$4="",343&gt;$F$3,$J348="",IFERROR($J348&lt;=0,TRUE)),"",343)</f>
        <v/>
      </c>
      <c r="B349" s="19">
        <f>IF($A349="","",IFERROR(EDATE($B$4,$A349-1),""))</f>
        <v/>
      </c>
      <c r="C349" s="9">
        <f>IF($A349="","",$J348)</f>
        <v/>
      </c>
      <c r="D349" s="9">
        <f>IF($A349="","",IFERROR(MIN($H$3,$C349+$I349),""))</f>
        <v/>
      </c>
      <c r="E349" s="9">
        <f>IF($A349="","",IF($D$4="",0,$D$4))</f>
        <v/>
      </c>
      <c r="F349" s="16" t="n"/>
      <c r="G349" s="9">
        <f>IF($A349="","",IFERROR(MIN($C349+$I349,$D349+$E349+IF($F349="",0,$F349)),""))</f>
        <v/>
      </c>
      <c r="H349" s="9">
        <f>IF($A349="","",IFERROR(MAX(0,$G349-$I349),""))</f>
        <v/>
      </c>
      <c r="I349" s="9">
        <f>IF($A349="","",IFERROR($C349*$D$3/12,""))</f>
        <v/>
      </c>
      <c r="J349" s="9">
        <f>IF($A349="","",IFERROR(MAX(0,$C349-$H349),""))</f>
        <v/>
      </c>
      <c r="K349" s="14" t="n"/>
    </row>
    <row r="350">
      <c r="A350" s="29">
        <f>IF(OR($B$3="",$D$3="",$F$3="",$H$3="",$B$4="",344&gt;$F$3,$J349="",IFERROR($J349&lt;=0,TRUE)),"",344)</f>
        <v/>
      </c>
      <c r="B350" s="21">
        <f>IF($A350="","",IFERROR(EDATE($B$4,$A350-1),""))</f>
        <v/>
      </c>
      <c r="C350" s="10">
        <f>IF($A350="","",$J349)</f>
        <v/>
      </c>
      <c r="D350" s="10">
        <f>IF($A350="","",IFERROR(MIN($H$3,$C350+$I350),""))</f>
        <v/>
      </c>
      <c r="E350" s="10">
        <f>IF($A350="","",IF($D$4="",0,$D$4))</f>
        <v/>
      </c>
      <c r="F350" s="16" t="n"/>
      <c r="G350" s="10">
        <f>IF($A350="","",IFERROR(MIN($C350+$I350,$D350+$E350+IF($F350="",0,$F350)),""))</f>
        <v/>
      </c>
      <c r="H350" s="10">
        <f>IF($A350="","",IFERROR(MAX(0,$G350-$I350),""))</f>
        <v/>
      </c>
      <c r="I350" s="10">
        <f>IF($A350="","",IFERROR($C350*$D$3/12,""))</f>
        <v/>
      </c>
      <c r="J350" s="10">
        <f>IF($A350="","",IFERROR(MAX(0,$C350-$H350),""))</f>
        <v/>
      </c>
      <c r="K350" s="14" t="n"/>
    </row>
    <row r="351">
      <c r="A351" s="28">
        <f>IF(OR($B$3="",$D$3="",$F$3="",$H$3="",$B$4="",345&gt;$F$3,$J350="",IFERROR($J350&lt;=0,TRUE)),"",345)</f>
        <v/>
      </c>
      <c r="B351" s="19">
        <f>IF($A351="","",IFERROR(EDATE($B$4,$A351-1),""))</f>
        <v/>
      </c>
      <c r="C351" s="9">
        <f>IF($A351="","",$J350)</f>
        <v/>
      </c>
      <c r="D351" s="9">
        <f>IF($A351="","",IFERROR(MIN($H$3,$C351+$I351),""))</f>
        <v/>
      </c>
      <c r="E351" s="9">
        <f>IF($A351="","",IF($D$4="",0,$D$4))</f>
        <v/>
      </c>
      <c r="F351" s="16" t="n"/>
      <c r="G351" s="9">
        <f>IF($A351="","",IFERROR(MIN($C351+$I351,$D351+$E351+IF($F351="",0,$F351)),""))</f>
        <v/>
      </c>
      <c r="H351" s="9">
        <f>IF($A351="","",IFERROR(MAX(0,$G351-$I351),""))</f>
        <v/>
      </c>
      <c r="I351" s="9">
        <f>IF($A351="","",IFERROR($C351*$D$3/12,""))</f>
        <v/>
      </c>
      <c r="J351" s="9">
        <f>IF($A351="","",IFERROR(MAX(0,$C351-$H351),""))</f>
        <v/>
      </c>
      <c r="K351" s="14" t="n"/>
    </row>
    <row r="352">
      <c r="A352" s="29">
        <f>IF(OR($B$3="",$D$3="",$F$3="",$H$3="",$B$4="",346&gt;$F$3,$J351="",IFERROR($J351&lt;=0,TRUE)),"",346)</f>
        <v/>
      </c>
      <c r="B352" s="21">
        <f>IF($A352="","",IFERROR(EDATE($B$4,$A352-1),""))</f>
        <v/>
      </c>
      <c r="C352" s="10">
        <f>IF($A352="","",$J351)</f>
        <v/>
      </c>
      <c r="D352" s="10">
        <f>IF($A352="","",IFERROR(MIN($H$3,$C352+$I352),""))</f>
        <v/>
      </c>
      <c r="E352" s="10">
        <f>IF($A352="","",IF($D$4="",0,$D$4))</f>
        <v/>
      </c>
      <c r="F352" s="16" t="n"/>
      <c r="G352" s="10">
        <f>IF($A352="","",IFERROR(MIN($C352+$I352,$D352+$E352+IF($F352="",0,$F352)),""))</f>
        <v/>
      </c>
      <c r="H352" s="10">
        <f>IF($A352="","",IFERROR(MAX(0,$G352-$I352),""))</f>
        <v/>
      </c>
      <c r="I352" s="10">
        <f>IF($A352="","",IFERROR($C352*$D$3/12,""))</f>
        <v/>
      </c>
      <c r="J352" s="10">
        <f>IF($A352="","",IFERROR(MAX(0,$C352-$H352),""))</f>
        <v/>
      </c>
      <c r="K352" s="14" t="n"/>
    </row>
    <row r="353">
      <c r="A353" s="28">
        <f>IF(OR($B$3="",$D$3="",$F$3="",$H$3="",$B$4="",347&gt;$F$3,$J352="",IFERROR($J352&lt;=0,TRUE)),"",347)</f>
        <v/>
      </c>
      <c r="B353" s="19">
        <f>IF($A353="","",IFERROR(EDATE($B$4,$A353-1),""))</f>
        <v/>
      </c>
      <c r="C353" s="9">
        <f>IF($A353="","",$J352)</f>
        <v/>
      </c>
      <c r="D353" s="9">
        <f>IF($A353="","",IFERROR(MIN($H$3,$C353+$I353),""))</f>
        <v/>
      </c>
      <c r="E353" s="9">
        <f>IF($A353="","",IF($D$4="",0,$D$4))</f>
        <v/>
      </c>
      <c r="F353" s="16" t="n"/>
      <c r="G353" s="9">
        <f>IF($A353="","",IFERROR(MIN($C353+$I353,$D353+$E353+IF($F353="",0,$F353)),""))</f>
        <v/>
      </c>
      <c r="H353" s="9">
        <f>IF($A353="","",IFERROR(MAX(0,$G353-$I353),""))</f>
        <v/>
      </c>
      <c r="I353" s="9">
        <f>IF($A353="","",IFERROR($C353*$D$3/12,""))</f>
        <v/>
      </c>
      <c r="J353" s="9">
        <f>IF($A353="","",IFERROR(MAX(0,$C353-$H353),""))</f>
        <v/>
      </c>
      <c r="K353" s="14" t="n"/>
    </row>
    <row r="354">
      <c r="A354" s="29">
        <f>IF(OR($B$3="",$D$3="",$F$3="",$H$3="",$B$4="",348&gt;$F$3,$J353="",IFERROR($J353&lt;=0,TRUE)),"",348)</f>
        <v/>
      </c>
      <c r="B354" s="21">
        <f>IF($A354="","",IFERROR(EDATE($B$4,$A354-1),""))</f>
        <v/>
      </c>
      <c r="C354" s="10">
        <f>IF($A354="","",$J353)</f>
        <v/>
      </c>
      <c r="D354" s="10">
        <f>IF($A354="","",IFERROR(MIN($H$3,$C354+$I354),""))</f>
        <v/>
      </c>
      <c r="E354" s="10">
        <f>IF($A354="","",IF($D$4="",0,$D$4))</f>
        <v/>
      </c>
      <c r="F354" s="16" t="n"/>
      <c r="G354" s="10">
        <f>IF($A354="","",IFERROR(MIN($C354+$I354,$D354+$E354+IF($F354="",0,$F354)),""))</f>
        <v/>
      </c>
      <c r="H354" s="10">
        <f>IF($A354="","",IFERROR(MAX(0,$G354-$I354),""))</f>
        <v/>
      </c>
      <c r="I354" s="10">
        <f>IF($A354="","",IFERROR($C354*$D$3/12,""))</f>
        <v/>
      </c>
      <c r="J354" s="10">
        <f>IF($A354="","",IFERROR(MAX(0,$C354-$H354),""))</f>
        <v/>
      </c>
      <c r="K354" s="14" t="n"/>
    </row>
    <row r="355">
      <c r="A355" s="28">
        <f>IF(OR($B$3="",$D$3="",$F$3="",$H$3="",$B$4="",349&gt;$F$3,$J354="",IFERROR($J354&lt;=0,TRUE)),"",349)</f>
        <v/>
      </c>
      <c r="B355" s="19">
        <f>IF($A355="","",IFERROR(EDATE($B$4,$A355-1),""))</f>
        <v/>
      </c>
      <c r="C355" s="9">
        <f>IF($A355="","",$J354)</f>
        <v/>
      </c>
      <c r="D355" s="9">
        <f>IF($A355="","",IFERROR(MIN($H$3,$C355+$I355),""))</f>
        <v/>
      </c>
      <c r="E355" s="9">
        <f>IF($A355="","",IF($D$4="",0,$D$4))</f>
        <v/>
      </c>
      <c r="F355" s="16" t="n"/>
      <c r="G355" s="9">
        <f>IF($A355="","",IFERROR(MIN($C355+$I355,$D355+$E355+IF($F355="",0,$F355)),""))</f>
        <v/>
      </c>
      <c r="H355" s="9">
        <f>IF($A355="","",IFERROR(MAX(0,$G355-$I355),""))</f>
        <v/>
      </c>
      <c r="I355" s="9">
        <f>IF($A355="","",IFERROR($C355*$D$3/12,""))</f>
        <v/>
      </c>
      <c r="J355" s="9">
        <f>IF($A355="","",IFERROR(MAX(0,$C355-$H355),""))</f>
        <v/>
      </c>
      <c r="K355" s="14" t="n"/>
    </row>
    <row r="356">
      <c r="A356" s="29">
        <f>IF(OR($B$3="",$D$3="",$F$3="",$H$3="",$B$4="",350&gt;$F$3,$J355="",IFERROR($J355&lt;=0,TRUE)),"",350)</f>
        <v/>
      </c>
      <c r="B356" s="21">
        <f>IF($A356="","",IFERROR(EDATE($B$4,$A356-1),""))</f>
        <v/>
      </c>
      <c r="C356" s="10">
        <f>IF($A356="","",$J355)</f>
        <v/>
      </c>
      <c r="D356" s="10">
        <f>IF($A356="","",IFERROR(MIN($H$3,$C356+$I356),""))</f>
        <v/>
      </c>
      <c r="E356" s="10">
        <f>IF($A356="","",IF($D$4="",0,$D$4))</f>
        <v/>
      </c>
      <c r="F356" s="16" t="n"/>
      <c r="G356" s="10">
        <f>IF($A356="","",IFERROR(MIN($C356+$I356,$D356+$E356+IF($F356="",0,$F356)),""))</f>
        <v/>
      </c>
      <c r="H356" s="10">
        <f>IF($A356="","",IFERROR(MAX(0,$G356-$I356),""))</f>
        <v/>
      </c>
      <c r="I356" s="10">
        <f>IF($A356="","",IFERROR($C356*$D$3/12,""))</f>
        <v/>
      </c>
      <c r="J356" s="10">
        <f>IF($A356="","",IFERROR(MAX(0,$C356-$H356),""))</f>
        <v/>
      </c>
      <c r="K356" s="14" t="n"/>
    </row>
    <row r="357">
      <c r="A357" s="28">
        <f>IF(OR($B$3="",$D$3="",$F$3="",$H$3="",$B$4="",351&gt;$F$3,$J356="",IFERROR($J356&lt;=0,TRUE)),"",351)</f>
        <v/>
      </c>
      <c r="B357" s="19">
        <f>IF($A357="","",IFERROR(EDATE($B$4,$A357-1),""))</f>
        <v/>
      </c>
      <c r="C357" s="9">
        <f>IF($A357="","",$J356)</f>
        <v/>
      </c>
      <c r="D357" s="9">
        <f>IF($A357="","",IFERROR(MIN($H$3,$C357+$I357),""))</f>
        <v/>
      </c>
      <c r="E357" s="9">
        <f>IF($A357="","",IF($D$4="",0,$D$4))</f>
        <v/>
      </c>
      <c r="F357" s="16" t="n"/>
      <c r="G357" s="9">
        <f>IF($A357="","",IFERROR(MIN($C357+$I357,$D357+$E357+IF($F357="",0,$F357)),""))</f>
        <v/>
      </c>
      <c r="H357" s="9">
        <f>IF($A357="","",IFERROR(MAX(0,$G357-$I357),""))</f>
        <v/>
      </c>
      <c r="I357" s="9">
        <f>IF($A357="","",IFERROR($C357*$D$3/12,""))</f>
        <v/>
      </c>
      <c r="J357" s="9">
        <f>IF($A357="","",IFERROR(MAX(0,$C357-$H357),""))</f>
        <v/>
      </c>
      <c r="K357" s="14" t="n"/>
    </row>
    <row r="358">
      <c r="A358" s="29">
        <f>IF(OR($B$3="",$D$3="",$F$3="",$H$3="",$B$4="",352&gt;$F$3,$J357="",IFERROR($J357&lt;=0,TRUE)),"",352)</f>
        <v/>
      </c>
      <c r="B358" s="21">
        <f>IF($A358="","",IFERROR(EDATE($B$4,$A358-1),""))</f>
        <v/>
      </c>
      <c r="C358" s="10">
        <f>IF($A358="","",$J357)</f>
        <v/>
      </c>
      <c r="D358" s="10">
        <f>IF($A358="","",IFERROR(MIN($H$3,$C358+$I358),""))</f>
        <v/>
      </c>
      <c r="E358" s="10">
        <f>IF($A358="","",IF($D$4="",0,$D$4))</f>
        <v/>
      </c>
      <c r="F358" s="16" t="n"/>
      <c r="G358" s="10">
        <f>IF($A358="","",IFERROR(MIN($C358+$I358,$D358+$E358+IF($F358="",0,$F358)),""))</f>
        <v/>
      </c>
      <c r="H358" s="10">
        <f>IF($A358="","",IFERROR(MAX(0,$G358-$I358),""))</f>
        <v/>
      </c>
      <c r="I358" s="10">
        <f>IF($A358="","",IFERROR($C358*$D$3/12,""))</f>
        <v/>
      </c>
      <c r="J358" s="10">
        <f>IF($A358="","",IFERROR(MAX(0,$C358-$H358),""))</f>
        <v/>
      </c>
      <c r="K358" s="14" t="n"/>
    </row>
    <row r="359">
      <c r="A359" s="28">
        <f>IF(OR($B$3="",$D$3="",$F$3="",$H$3="",$B$4="",353&gt;$F$3,$J358="",IFERROR($J358&lt;=0,TRUE)),"",353)</f>
        <v/>
      </c>
      <c r="B359" s="19">
        <f>IF($A359="","",IFERROR(EDATE($B$4,$A359-1),""))</f>
        <v/>
      </c>
      <c r="C359" s="9">
        <f>IF($A359="","",$J358)</f>
        <v/>
      </c>
      <c r="D359" s="9">
        <f>IF($A359="","",IFERROR(MIN($H$3,$C359+$I359),""))</f>
        <v/>
      </c>
      <c r="E359" s="9">
        <f>IF($A359="","",IF($D$4="",0,$D$4))</f>
        <v/>
      </c>
      <c r="F359" s="16" t="n"/>
      <c r="G359" s="9">
        <f>IF($A359="","",IFERROR(MIN($C359+$I359,$D359+$E359+IF($F359="",0,$F359)),""))</f>
        <v/>
      </c>
      <c r="H359" s="9">
        <f>IF($A359="","",IFERROR(MAX(0,$G359-$I359),""))</f>
        <v/>
      </c>
      <c r="I359" s="9">
        <f>IF($A359="","",IFERROR($C359*$D$3/12,""))</f>
        <v/>
      </c>
      <c r="J359" s="9">
        <f>IF($A359="","",IFERROR(MAX(0,$C359-$H359),""))</f>
        <v/>
      </c>
      <c r="K359" s="14" t="n"/>
    </row>
    <row r="360">
      <c r="A360" s="29">
        <f>IF(OR($B$3="",$D$3="",$F$3="",$H$3="",$B$4="",354&gt;$F$3,$J359="",IFERROR($J359&lt;=0,TRUE)),"",354)</f>
        <v/>
      </c>
      <c r="B360" s="21">
        <f>IF($A360="","",IFERROR(EDATE($B$4,$A360-1),""))</f>
        <v/>
      </c>
      <c r="C360" s="10">
        <f>IF($A360="","",$J359)</f>
        <v/>
      </c>
      <c r="D360" s="10">
        <f>IF($A360="","",IFERROR(MIN($H$3,$C360+$I360),""))</f>
        <v/>
      </c>
      <c r="E360" s="10">
        <f>IF($A360="","",IF($D$4="",0,$D$4))</f>
        <v/>
      </c>
      <c r="F360" s="16" t="n"/>
      <c r="G360" s="10">
        <f>IF($A360="","",IFERROR(MIN($C360+$I360,$D360+$E360+IF($F360="",0,$F360)),""))</f>
        <v/>
      </c>
      <c r="H360" s="10">
        <f>IF($A360="","",IFERROR(MAX(0,$G360-$I360),""))</f>
        <v/>
      </c>
      <c r="I360" s="10">
        <f>IF($A360="","",IFERROR($C360*$D$3/12,""))</f>
        <v/>
      </c>
      <c r="J360" s="10">
        <f>IF($A360="","",IFERROR(MAX(0,$C360-$H360),""))</f>
        <v/>
      </c>
      <c r="K360" s="14" t="n"/>
    </row>
    <row r="361">
      <c r="A361" s="28">
        <f>IF(OR($B$3="",$D$3="",$F$3="",$H$3="",$B$4="",355&gt;$F$3,$J360="",IFERROR($J360&lt;=0,TRUE)),"",355)</f>
        <v/>
      </c>
      <c r="B361" s="19">
        <f>IF($A361="","",IFERROR(EDATE($B$4,$A361-1),""))</f>
        <v/>
      </c>
      <c r="C361" s="9">
        <f>IF($A361="","",$J360)</f>
        <v/>
      </c>
      <c r="D361" s="9">
        <f>IF($A361="","",IFERROR(MIN($H$3,$C361+$I361),""))</f>
        <v/>
      </c>
      <c r="E361" s="9">
        <f>IF($A361="","",IF($D$4="",0,$D$4))</f>
        <v/>
      </c>
      <c r="F361" s="16" t="n"/>
      <c r="G361" s="9">
        <f>IF($A361="","",IFERROR(MIN($C361+$I361,$D361+$E361+IF($F361="",0,$F361)),""))</f>
        <v/>
      </c>
      <c r="H361" s="9">
        <f>IF($A361="","",IFERROR(MAX(0,$G361-$I361),""))</f>
        <v/>
      </c>
      <c r="I361" s="9">
        <f>IF($A361="","",IFERROR($C361*$D$3/12,""))</f>
        <v/>
      </c>
      <c r="J361" s="9">
        <f>IF($A361="","",IFERROR(MAX(0,$C361-$H361),""))</f>
        <v/>
      </c>
      <c r="K361" s="14" t="n"/>
    </row>
    <row r="362">
      <c r="A362" s="29">
        <f>IF(OR($B$3="",$D$3="",$F$3="",$H$3="",$B$4="",356&gt;$F$3,$J361="",IFERROR($J361&lt;=0,TRUE)),"",356)</f>
        <v/>
      </c>
      <c r="B362" s="21">
        <f>IF($A362="","",IFERROR(EDATE($B$4,$A362-1),""))</f>
        <v/>
      </c>
      <c r="C362" s="10">
        <f>IF($A362="","",$J361)</f>
        <v/>
      </c>
      <c r="D362" s="10">
        <f>IF($A362="","",IFERROR(MIN($H$3,$C362+$I362),""))</f>
        <v/>
      </c>
      <c r="E362" s="10">
        <f>IF($A362="","",IF($D$4="",0,$D$4))</f>
        <v/>
      </c>
      <c r="F362" s="16" t="n"/>
      <c r="G362" s="10">
        <f>IF($A362="","",IFERROR(MIN($C362+$I362,$D362+$E362+IF($F362="",0,$F362)),""))</f>
        <v/>
      </c>
      <c r="H362" s="10">
        <f>IF($A362="","",IFERROR(MAX(0,$G362-$I362),""))</f>
        <v/>
      </c>
      <c r="I362" s="10">
        <f>IF($A362="","",IFERROR($C362*$D$3/12,""))</f>
        <v/>
      </c>
      <c r="J362" s="10">
        <f>IF($A362="","",IFERROR(MAX(0,$C362-$H362),""))</f>
        <v/>
      </c>
      <c r="K362" s="14" t="n"/>
    </row>
    <row r="363">
      <c r="A363" s="28">
        <f>IF(OR($B$3="",$D$3="",$F$3="",$H$3="",$B$4="",357&gt;$F$3,$J362="",IFERROR($J362&lt;=0,TRUE)),"",357)</f>
        <v/>
      </c>
      <c r="B363" s="19">
        <f>IF($A363="","",IFERROR(EDATE($B$4,$A363-1),""))</f>
        <v/>
      </c>
      <c r="C363" s="9">
        <f>IF($A363="","",$J362)</f>
        <v/>
      </c>
      <c r="D363" s="9">
        <f>IF($A363="","",IFERROR(MIN($H$3,$C363+$I363),""))</f>
        <v/>
      </c>
      <c r="E363" s="9">
        <f>IF($A363="","",IF($D$4="",0,$D$4))</f>
        <v/>
      </c>
      <c r="F363" s="16" t="n"/>
      <c r="G363" s="9">
        <f>IF($A363="","",IFERROR(MIN($C363+$I363,$D363+$E363+IF($F363="",0,$F363)),""))</f>
        <v/>
      </c>
      <c r="H363" s="9">
        <f>IF($A363="","",IFERROR(MAX(0,$G363-$I363),""))</f>
        <v/>
      </c>
      <c r="I363" s="9">
        <f>IF($A363="","",IFERROR($C363*$D$3/12,""))</f>
        <v/>
      </c>
      <c r="J363" s="9">
        <f>IF($A363="","",IFERROR(MAX(0,$C363-$H363),""))</f>
        <v/>
      </c>
      <c r="K363" s="14" t="n"/>
    </row>
    <row r="364">
      <c r="A364" s="29">
        <f>IF(OR($B$3="",$D$3="",$F$3="",$H$3="",$B$4="",358&gt;$F$3,$J363="",IFERROR($J363&lt;=0,TRUE)),"",358)</f>
        <v/>
      </c>
      <c r="B364" s="21">
        <f>IF($A364="","",IFERROR(EDATE($B$4,$A364-1),""))</f>
        <v/>
      </c>
      <c r="C364" s="10">
        <f>IF($A364="","",$J363)</f>
        <v/>
      </c>
      <c r="D364" s="10">
        <f>IF($A364="","",IFERROR(MIN($H$3,$C364+$I364),""))</f>
        <v/>
      </c>
      <c r="E364" s="10">
        <f>IF($A364="","",IF($D$4="",0,$D$4))</f>
        <v/>
      </c>
      <c r="F364" s="16" t="n"/>
      <c r="G364" s="10">
        <f>IF($A364="","",IFERROR(MIN($C364+$I364,$D364+$E364+IF($F364="",0,$F364)),""))</f>
        <v/>
      </c>
      <c r="H364" s="10">
        <f>IF($A364="","",IFERROR(MAX(0,$G364-$I364),""))</f>
        <v/>
      </c>
      <c r="I364" s="10">
        <f>IF($A364="","",IFERROR($C364*$D$3/12,""))</f>
        <v/>
      </c>
      <c r="J364" s="10">
        <f>IF($A364="","",IFERROR(MAX(0,$C364-$H364),""))</f>
        <v/>
      </c>
      <c r="K364" s="14" t="n"/>
    </row>
    <row r="365">
      <c r="A365" s="28">
        <f>IF(OR($B$3="",$D$3="",$F$3="",$H$3="",$B$4="",359&gt;$F$3,$J364="",IFERROR($J364&lt;=0,TRUE)),"",359)</f>
        <v/>
      </c>
      <c r="B365" s="19">
        <f>IF($A365="","",IFERROR(EDATE($B$4,$A365-1),""))</f>
        <v/>
      </c>
      <c r="C365" s="9">
        <f>IF($A365="","",$J364)</f>
        <v/>
      </c>
      <c r="D365" s="9">
        <f>IF($A365="","",IFERROR(MIN($H$3,$C365+$I365),""))</f>
        <v/>
      </c>
      <c r="E365" s="9">
        <f>IF($A365="","",IF($D$4="",0,$D$4))</f>
        <v/>
      </c>
      <c r="F365" s="16" t="n"/>
      <c r="G365" s="9">
        <f>IF($A365="","",IFERROR(MIN($C365+$I365,$D365+$E365+IF($F365="",0,$F365)),""))</f>
        <v/>
      </c>
      <c r="H365" s="9">
        <f>IF($A365="","",IFERROR(MAX(0,$G365-$I365),""))</f>
        <v/>
      </c>
      <c r="I365" s="9">
        <f>IF($A365="","",IFERROR($C365*$D$3/12,""))</f>
        <v/>
      </c>
      <c r="J365" s="9">
        <f>IF($A365="","",IFERROR(MAX(0,$C365-$H365),""))</f>
        <v/>
      </c>
      <c r="K365" s="14" t="n"/>
    </row>
    <row r="366">
      <c r="A366" s="29">
        <f>IF(OR($B$3="",$D$3="",$F$3="",$H$3="",$B$4="",360&gt;$F$3,$J365="",IFERROR($J365&lt;=0,TRUE)),"",360)</f>
        <v/>
      </c>
      <c r="B366" s="21">
        <f>IF($A366="","",IFERROR(EDATE($B$4,$A366-1),""))</f>
        <v/>
      </c>
      <c r="C366" s="10">
        <f>IF($A366="","",$J365)</f>
        <v/>
      </c>
      <c r="D366" s="10">
        <f>IF($A366="","",IFERROR(MIN($H$3,$C366+$I366),""))</f>
        <v/>
      </c>
      <c r="E366" s="10">
        <f>IF($A366="","",IF($D$4="",0,$D$4))</f>
        <v/>
      </c>
      <c r="F366" s="16" t="n"/>
      <c r="G366" s="10">
        <f>IF($A366="","",IFERROR(MIN($C366+$I366,$D366+$E366+IF($F366="",0,$F366)),""))</f>
        <v/>
      </c>
      <c r="H366" s="10">
        <f>IF($A366="","",IFERROR(MAX(0,$G366-$I366),""))</f>
        <v/>
      </c>
      <c r="I366" s="10">
        <f>IF($A366="","",IFERROR($C366*$D$3/12,""))</f>
        <v/>
      </c>
      <c r="J366" s="10">
        <f>IF($A366="","",IFERROR(MAX(0,$C366-$H366),""))</f>
        <v/>
      </c>
      <c r="K366" s="14" t="n"/>
    </row>
  </sheetData>
  <autoFilter ref="A6:K366"/>
  <mergeCells count="1">
    <mergeCell ref="A1:K1"/>
  </mergeCells>
  <conditionalFormatting sqref="J7:J366">
    <cfRule type="expression" priority="1" dxfId="1">
      <formula>AND($A7&lt;&gt;"",$J7=0)</formula>
    </cfRule>
  </conditionalFormatting>
  <dataValidations count="1">
    <dataValidation sqref="F7:F366" showDropDown="0" showInputMessage="0" showErrorMessage="1" allowBlank="0" errorTitle="Check Added Extra" error="Enter zero or a positive added extra payment." type="decimal" operator="between">
      <formula1>0</formula1>
      <formula2>1000000</formula2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58" customWidth="1" min="3" max="3"/>
  </cols>
  <sheetData>
    <row r="1" ht="30" customHeight="1">
      <c r="A1" s="1" t="inlineStr">
        <is>
          <t>Green Lantern Lawns (Fictional) — Editable Loan Settings</t>
        </is>
      </c>
    </row>
    <row r="2" ht="34" customHeight="1">
      <c r="A2" s="2" t="inlineStr">
        <is>
          <t>These settings support planning checks only. Thresholds are editable business review inputs, not lending, legal, tax, or accounting advice.</t>
        </is>
      </c>
    </row>
    <row r="3" ht="32" customHeight="1">
      <c r="A3" s="3" t="inlineStr">
        <is>
          <t>Setting</t>
        </is>
      </c>
      <c r="B3" s="3" t="inlineStr">
        <is>
          <t>Editable Value</t>
        </is>
      </c>
      <c r="C3" s="3" t="inlineStr">
        <is>
          <t>Use or Human Check</t>
        </is>
      </c>
    </row>
    <row r="4">
      <c r="A4" s="30" t="inlineStr">
        <is>
          <t>As-of Date</t>
        </is>
      </c>
      <c r="B4" s="31" t="n">
        <v>46275</v>
      </c>
      <c r="C4" s="22" t="inlineStr">
        <is>
          <t>Drives elapsed-payment and estimated-balance calculations.</t>
        </is>
      </c>
    </row>
    <row r="5">
      <c r="A5" s="32" t="inlineStr">
        <is>
          <t>Balance Review Tolerance</t>
        </is>
      </c>
      <c r="B5" s="33" t="n">
        <v>1</v>
      </c>
      <c r="C5" s="20" t="inlineStr">
        <is>
          <t>Flags an active balance remaining after scheduled maturity.</t>
        </is>
      </c>
    </row>
    <row r="6">
      <c r="A6" s="30" t="inlineStr">
        <is>
          <t>Selected Loan ID</t>
        </is>
      </c>
      <c r="B6" s="14" t="inlineStr">
        <is>
          <t>LN-001</t>
        </is>
      </c>
      <c r="C6" s="22">
        <f>IF($B$6="","Enter a loan ID",IF(COUNTIF(Loans!$A$5:$A$104,$B$6)=0,"Check loan ID",""))</f>
        <v/>
      </c>
    </row>
    <row r="7">
      <c r="A7" s="32" t="inlineStr">
        <is>
          <t>APR Input Review Threshold</t>
        </is>
      </c>
      <c r="B7" s="34" t="n">
        <v>0.25</v>
      </c>
      <c r="C7" s="20" t="inlineStr">
        <is>
          <t>Input review alert only; not a lending recommendation.</t>
        </is>
      </c>
    </row>
  </sheetData>
  <mergeCells count="1">
    <mergeCell ref="A1:C1"/>
  </mergeCells>
  <conditionalFormatting sqref="C6">
    <cfRule type="expression" priority="1" dxfId="0">
      <formula>$C$6&lt;&gt;""</formula>
    </cfRule>
  </conditionalFormatting>
  <dataValidations count="3">
    <dataValidation sqref="B4" showDropDown="0" showInputMessage="0" showErrorMessage="1" allowBlank="0" errorTitle="Check As-of Date" error="Enter an as-of date from 01/01/2000 through 12/31/2100." type="date" operator="between">
      <formula1>DATE(2000,1,1)</formula1>
      <formula2>DATE(2100,12,31)</formula2>
    </dataValidation>
    <dataValidation sqref="B5" showDropDown="0" showInputMessage="0" showErrorMessage="1" allowBlank="0" errorTitle="Check Tolerance" error="Enter a balance tolerance from $0.00 through $1,000.00." type="decimal" operator="between">
      <formula1>0</formula1>
      <formula2>1000</formula2>
    </dataValidation>
    <dataValidation sqref="B7" showDropDown="0" showInputMessage="0" showErrorMessage="1" allowBlank="0" errorTitle="Check APR Threshold" error="Enter the review threshold as a percentage from 0.00% through 100.00%." type="decimal" operator="between">
      <formula1>0</formula1>
      <formula2>1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Green Lantern Lawns (Fictional)</dc:creator>
  <dc:title xmlns:dc="http://purl.org/dc/elements/1.1/">Lawn Care Loan Amortization Spreadsheet</dc:title>
  <dc:description xmlns:dc="http://purl.org/dc/elements/1.1/">Calculates planned principal, interest, payments, and estimated balances for fictional lawn care business loans.</dc:description>
  <dc:subject xmlns:dc="http://purl.org/dc/elements/1.1/">Fictional lawn care business loan planning</dc:subject>
  <dcterms:created xmlns:dcterms="http://purl.org/dc/terms/" xmlns:xsi="http://www.w3.org/2001/XMLSchema-instance" xsi:type="dcterms:W3CDTF">2026-09-10T13:47:32Z</dcterms:created>
  <dcterms:modified xmlns:dcterms="http://purl.org/dc/terms/" xmlns:xsi="http://www.w3.org/2001/XMLSchema-instance" xsi:type="dcterms:W3CDTF">2026-09-10T13:47:33+00:00Z</dcterms:modified>
</cp:coreProperties>
</file>